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drawings/drawing7.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drawings/drawing12.xml" ContentType="application/vnd.openxmlformats-officedocument.drawing+xml"/>
  <Override PartName="/xl/comments6.xml" ContentType="application/vnd.openxmlformats-officedocument.spreadsheetml.comments+xml"/>
  <Override PartName="/xl/charts/chart18.xml" ContentType="application/vnd.openxmlformats-officedocument.drawingml.chart+xml"/>
  <Override PartName="/xl/drawings/drawing13.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drawings/drawing1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drawings/drawing1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7.xml" ContentType="application/vnd.openxmlformats-officedocument.spreadsheetml.comments+xml"/>
  <Override PartName="/xl/charts/chart23.xml" ContentType="application/vnd.openxmlformats-officedocument.drawingml.chart+xml"/>
  <Override PartName="/xl/charts/chart24.xml" ContentType="application/vnd.openxmlformats-officedocument.drawingml.chart+xml"/>
  <Override PartName="/xl/drawings/drawing16.xml" ContentType="application/vnd.openxmlformats-officedocument.drawing+xml"/>
  <Override PartName="/xl/activeX/activeX3.xml" ContentType="application/vnd.ms-office.activeX+xml"/>
  <Override PartName="/xl/activeX/activeX3.bin" ContentType="application/vnd.ms-office.activeX"/>
  <Override PartName="/xl/charts/chart25.xml" ContentType="application/vnd.openxmlformats-officedocument.drawingml.chart+xml"/>
  <Override PartName="/xl/drawings/drawing17.xml" ContentType="application/vnd.openxmlformats-officedocument.drawing+xml"/>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18.xml" ContentType="application/vnd.openxmlformats-officedocument.drawing+xml"/>
  <Override PartName="/xl/activeX/activeX5.xml" ContentType="application/vnd.ms-office.activeX+xml"/>
  <Override PartName="/xl/activeX/activeX5.bin" ContentType="application/vnd.ms-office.activeX"/>
  <Override PartName="/xl/comments9.xml" ContentType="application/vnd.openxmlformats-officedocument.spreadsheetml.comments+xml"/>
  <Override PartName="/xl/charts/chart29.xml" ContentType="application/vnd.openxmlformats-officedocument.drawingml.chart+xml"/>
  <Override PartName="/xl/drawings/drawing19.xml" ContentType="application/vnd.openxmlformats-officedocument.drawing+xml"/>
  <Override PartName="/xl/activeX/activeX6.xml" ContentType="application/vnd.ms-office.activeX+xml"/>
  <Override PartName="/xl/activeX/activeX6.bin" ContentType="application/vnd.ms-office.activeX"/>
  <Override PartName="/xl/comments10.xml" ContentType="application/vnd.openxmlformats-officedocument.spreadsheetml.comments+xml"/>
  <Override PartName="/xl/charts/chart30.xml" ContentType="application/vnd.openxmlformats-officedocument.drawingml.chart+xml"/>
  <Override PartName="/xl/charts/chart31.xml" ContentType="application/vnd.openxmlformats-officedocument.drawingml.chart+xml"/>
  <Override PartName="/xl/drawings/drawing20.xml" ContentType="application/vnd.openxmlformats-officedocument.drawing+xml"/>
  <Override PartName="/xl/activeX/activeX7.xml" ContentType="application/vnd.ms-office.activeX+xml"/>
  <Override PartName="/xl/activeX/activeX7.bin" ContentType="application/vnd.ms-office.activeX"/>
  <Override PartName="/xl/comments11.xml" ContentType="application/vnd.openxmlformats-officedocument.spreadsheetml.comments+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21.xml" ContentType="application/vnd.openxmlformats-officedocument.drawing+xml"/>
  <Override PartName="/xl/activeX/activeX8.xml" ContentType="application/vnd.ms-office.activeX+xml"/>
  <Override PartName="/xl/activeX/activeX8.bin" ContentType="application/vnd.ms-office.activeX"/>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22.xml" ContentType="application/vnd.openxmlformats-officedocument.drawing+xml"/>
  <Override PartName="/xl/activeX/activeX9.xml" ContentType="application/vnd.ms-office.activeX+xml"/>
  <Override PartName="/xl/activeX/activeX9.bin" ContentType="application/vnd.ms-office.activeX"/>
  <Override PartName="/xl/comments12.xml" ContentType="application/vnd.openxmlformats-officedocument.spreadsheetml.comments+xml"/>
  <Override PartName="/xl/charts/chart38.xml" ContentType="application/vnd.openxmlformats-officedocument.drawingml.chart+xml"/>
  <Override PartName="/xl/drawings/drawing23.xml" ContentType="application/vnd.openxmlformats-officedocument.drawing+xml"/>
  <Override PartName="/xl/activeX/activeX10.xml" ContentType="application/vnd.ms-office.activeX+xml"/>
  <Override PartName="/xl/activeX/activeX10.bin" ContentType="application/vnd.ms-office.activeX"/>
  <Override PartName="/xl/comments13.xml" ContentType="application/vnd.openxmlformats-officedocument.spreadsheetml.comments+xml"/>
  <Override PartName="/xl/charts/chart39.xml" ContentType="application/vnd.openxmlformats-officedocument.drawingml.chart+xml"/>
  <Override PartName="/xl/drawings/drawing24.xml" ContentType="application/vnd.openxmlformats-officedocument.drawing+xml"/>
  <Override PartName="/xl/activeX/activeX11.xml" ContentType="application/vnd.ms-office.activeX+xml"/>
  <Override PartName="/xl/activeX/activeX11.bin" ContentType="application/vnd.ms-office.activeX"/>
  <Override PartName="/xl/comments14.xml" ContentType="application/vnd.openxmlformats-officedocument.spreadsheetml.comments+xml"/>
  <Override PartName="/xl/charts/chart40.xml" ContentType="application/vnd.openxmlformats-officedocument.drawingml.chart+xml"/>
  <Override PartName="/xl/drawings/drawing25.xml" ContentType="application/vnd.openxmlformats-officedocument.drawing+xml"/>
  <Override PartName="/xl/activeX/activeX12.xml" ContentType="application/vnd.ms-office.activeX+xml"/>
  <Override PartName="/xl/activeX/activeX12.bin" ContentType="application/vnd.ms-office.activeX"/>
  <Override PartName="/xl/comments15.xml" ContentType="application/vnd.openxmlformats-officedocument.spreadsheetml.comments+xml"/>
  <Override PartName="/xl/charts/chart41.xml" ContentType="application/vnd.openxmlformats-officedocument.drawingml.chart+xml"/>
  <Override PartName="/xl/drawings/drawing26.xml" ContentType="application/vnd.openxmlformats-officedocument.drawing+xml"/>
  <Override PartName="/xl/activeX/activeX13.xml" ContentType="application/vnd.ms-office.activeX+xml"/>
  <Override PartName="/xl/activeX/activeX13.bin" ContentType="application/vnd.ms-office.activeX"/>
  <Override PartName="/xl/comments16.xml" ContentType="application/vnd.openxmlformats-officedocument.spreadsheetml.comments+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drawings/drawing27.xml" ContentType="application/vnd.openxmlformats-officedocument.drawing+xml"/>
  <Override PartName="/xl/activeX/activeX14.xml" ContentType="application/vnd.ms-office.activeX+xml"/>
  <Override PartName="/xl/activeX/activeX14.bin" ContentType="application/vnd.ms-office.activeX"/>
  <Override PartName="/xl/comments17.xml" ContentType="application/vnd.openxmlformats-officedocument.spreadsheetml.comments+xml"/>
  <Override PartName="/xl/charts/chart4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600" yWindow="765" windowWidth="24015" windowHeight="11925" tabRatio="846" activeTab="3"/>
  </bookViews>
  <sheets>
    <sheet name="Notes" sheetId="1" r:id="rId1"/>
    <sheet name="Models" sheetId="26" r:id="rId2"/>
    <sheet name="Uncertainty" sheetId="27" r:id="rId3"/>
    <sheet name="Rank data" sheetId="25" r:id="rId4"/>
    <sheet name="Forecast by Age" sheetId="28" r:id="rId5"/>
    <sheet name="Average BY Return" sheetId="29" r:id="rId6"/>
    <sheet name="Fcst Sumry" sheetId="2" r:id="rId7"/>
    <sheet name="Performance" sheetId="3" r:id="rId8"/>
    <sheet name="Run by Year" sheetId="30" r:id="rId9"/>
    <sheet name="Age1.2" sheetId="31" r:id="rId10"/>
    <sheet name="Age1.3" sheetId="32" r:id="rId11"/>
    <sheet name="Charts" sheetId="23" state="hidden" r:id="rId12"/>
    <sheet name="Fry to adult survival" sheetId="34" r:id="rId13"/>
    <sheet name="Brd Link" sheetId="4" r:id="rId14"/>
    <sheet name="Brd Tbl" sheetId="5" r:id="rId15"/>
    <sheet name="1.2xtotalRun" sheetId="33" r:id="rId16"/>
    <sheet name="ln03xln11" sheetId="18" r:id="rId17"/>
    <sheet name="ln03xln02" sheetId="19" r:id="rId18"/>
    <sheet name="ln12rpsxBYE" sheetId="8" r:id="rId19"/>
    <sheet name="ln12xln11" sheetId="9" r:id="rId20"/>
    <sheet name="13=BYE" sheetId="24" r:id="rId21"/>
    <sheet name="ln13rpsxBYE" sheetId="10" r:id="rId22"/>
    <sheet name="ln13xln12" sheetId="11" r:id="rId23"/>
    <sheet name="ln13xln03" sheetId="13" r:id="rId24"/>
    <sheet name="13 x 12" sheetId="12" r:id="rId25"/>
    <sheet name="ln22xBYE" sheetId="14" r:id="rId26"/>
    <sheet name="ln22xln12" sheetId="15" r:id="rId27"/>
    <sheet name="ln23xln22" sheetId="16" r:id="rId28"/>
    <sheet name="ln23xln13" sheetId="17" r:id="rId29"/>
    <sheet name="RegOut" sheetId="22" r:id="rId30"/>
    <sheet name="ttab" sheetId="20" r:id="rId31"/>
  </sheets>
  <externalReferences>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s>
  <definedNames>
    <definedName name="__123Graph_A" hidden="1">[1]A7!$T$12:$T$83</definedName>
    <definedName name="__123Graph_A3CRWERC" hidden="1">[1]A7!$T$12:$T$83</definedName>
    <definedName name="__123Graph_A3CRWERD" hidden="1">[1]A7!$R$12:$R$83</definedName>
    <definedName name="__123Graph_A4CRWERC" hidden="1">[1]A7!$T$12:$T$83</definedName>
    <definedName name="__123Graph_A4CRWERD" hidden="1">[1]A7!$R$12:$R$83</definedName>
    <definedName name="__123Graph_ACUMULATIVE" hidden="1">[1]A7!$T$7:$T$85</definedName>
    <definedName name="__123Graph_ALN12LN13" hidden="1">ln13xln12!$AA$13:$AA$60</definedName>
    <definedName name="__123Graph_ALN1D21D3" hidden="1">ln03xln11!$AA$23:$AA$40</definedName>
    <definedName name="__123Graph_ALNBELN22" hidden="1">ln22xBYE!$AA$13:$AA$62</definedName>
    <definedName name="__123Graph_ATEMP" hidden="1">ln12rpsxBYE!$AA$25:$AA$39</definedName>
    <definedName name="__123Graph_B3CRWERD" hidden="1">[1]A7!$Q$12:$Q$84</definedName>
    <definedName name="__123Graph_B4CRWERD" hidden="1">[1]A7!$Q$12:$Q$84</definedName>
    <definedName name="__123Graph_BCUMULATIVE" hidden="1">[1]A7!$S$7:$S$86</definedName>
    <definedName name="__123Graph_BLN12LN13" hidden="1">ln13xln12!$AB$13:$AB$60</definedName>
    <definedName name="__123Graph_BLN1D21D3" hidden="1">ln03xln11!$AB$23:$AB$40</definedName>
    <definedName name="__123Graph_BLNBELN22" hidden="1">ln22xBYE!$AB$13:$AB$62</definedName>
    <definedName name="__123Graph_BTEMP" hidden="1">ln12rpsxBYE!$D$25:$D$39</definedName>
    <definedName name="__123Graph_CLN12LN13" hidden="1">ln13xln12!$AD$13:$AD$60</definedName>
    <definedName name="__123Graph_CLN1D21D3" hidden="1">ln03xln11!$AD$23:$AD$40</definedName>
    <definedName name="__123Graph_CLNBELN22" hidden="1">ln22xBYE!$AD$13:$AD$62</definedName>
    <definedName name="__123Graph_DLN12LN13" hidden="1">ln13xln12!$AE$13:$AE$60</definedName>
    <definedName name="__123Graph_DLN1D21D3" hidden="1">ln03xln11!$AE$23:$AE$40</definedName>
    <definedName name="__123Graph_DLNBELN22" hidden="1">ln22xBYE!$AE$13:$AE$62</definedName>
    <definedName name="__123Graph_ELN12LN13" hidden="1">ln13xln12!$AF$13:$AF$62</definedName>
    <definedName name="__123Graph_ELNBELN22" hidden="1">ln22xBYE!$AF$13:$AF$62</definedName>
    <definedName name="__123Graph_LBL_BLN12LN13" hidden="1">ln13xln12!$AC$13:$AC$60</definedName>
    <definedName name="__123Graph_LBL_BLNBELN22" hidden="1">ln22xBYE!$AC$13:$AC$42</definedName>
    <definedName name="__123Graph_X" hidden="1">[1]A7!$P$12:$P$84</definedName>
    <definedName name="__123Graph_X3CRWERC" hidden="1">[1]A7!$P$12:$P$84</definedName>
    <definedName name="__123Graph_X3CRWERD" hidden="1">[1]A7!$P$12:$P$84</definedName>
    <definedName name="__123Graph_X4CRWERC" hidden="1">[1]A7!$P$12:$P$84</definedName>
    <definedName name="__123Graph_X4CRWERD" hidden="1">[1]A7!$P$12:$P$84</definedName>
    <definedName name="__123Graph_XCUMULATIVE" hidden="1">[1]A7!$P$7:$P$85</definedName>
    <definedName name="__123Graph_XLN1D21D3" hidden="1">ln03xln11!$Z$23:$Z$40</definedName>
    <definedName name="__Cat1">[2]Overlay!$J$11</definedName>
    <definedName name="_1__123Graph_ACHART_1" localSheetId="12" hidden="1">[1]A7!$Q$7:$Q$86</definedName>
    <definedName name="_1__123Graph_ACHART_1" hidden="1">ln13xln03!$AA$13:$AA$60</definedName>
    <definedName name="_10__123Graph_ACHART_6" hidden="1">ln23xln22!$AA$13:$AA$59</definedName>
    <definedName name="_11__123Graph_ACHART_8" hidden="1">ln03xln11!$AA$13:$AA$61</definedName>
    <definedName name="_12__123Graph_ACHART_9" hidden="1">ln12rpsxBYE!$AA$13:$AA$61</definedName>
    <definedName name="_13__123Graph_BCHART_1" hidden="1">ln13xln03!$AB$13:$AB$60</definedName>
    <definedName name="_14__123Graph_BCHART_10" hidden="1">ln12xln11!$AB$13:$AB$40</definedName>
    <definedName name="_15__123Graph_BCHART_11" hidden="1">ln22xln12!$AB$13:$AB$42</definedName>
    <definedName name="_16__123Graph_BCHART_12" hidden="1">'Brd Tbl'!$AQ$18:$AQ$39</definedName>
    <definedName name="_17__123Graph_BCHART_20" hidden="1">ln03xln02!$AB$13:$AB$56</definedName>
    <definedName name="_18__123Graph_BCHART_21" hidden="1">'Brd Tbl'!$AQ$8:$AQ$39</definedName>
    <definedName name="_19__123Graph_BCHART_23" hidden="1">'13 x 12'!$X$13:$X$62</definedName>
    <definedName name="_2__123Graph_ACHART_10" hidden="1">ln12xln11!$AA$13:$AA$40</definedName>
    <definedName name="_2__123Graph_AMILES_DAILY" hidden="1">[1]A7!$R$7:$R$85</definedName>
    <definedName name="_20__123Graph_BCHART_26" hidden="1">'Brd Link'!$F$40:$F$43</definedName>
    <definedName name="_21__123Graph_BCHART_6" hidden="1">ln23xln22!$AB$13:$AB$59</definedName>
    <definedName name="_22__123Graph_BCHART_8" hidden="1">ln03xln11!$AB$13:$AB$61</definedName>
    <definedName name="_23__123Graph_BCHART_9" hidden="1">ln12rpsxBYE!$AB$13:$AB$61</definedName>
    <definedName name="_24__123Graph_CCHART_1" hidden="1">ln13xln03!$AD$13:$AD$60</definedName>
    <definedName name="_25__123Graph_CCHART_10" hidden="1">ln12xln11!$AD$13:$AD$40</definedName>
    <definedName name="_26__123Graph_CCHART_11" hidden="1">ln22xln12!$AD$13:$AD$42</definedName>
    <definedName name="_27__123Graph_CCHART_15" hidden="1">Performance!$C$9:$C$25</definedName>
    <definedName name="_28__123Graph_CCHART_16" hidden="1">'Brd Tbl'!$AW$18:$AW$44</definedName>
    <definedName name="_29__123Graph_CCHART_20" hidden="1">ln03xln02!$AD$13:$AD$56</definedName>
    <definedName name="_3__123Graph_ACHART_11" hidden="1">ln22xln12!$AA$13:$AA$42</definedName>
    <definedName name="_3__123Graph_BCHART_1" hidden="1">[1]A7!#REF!</definedName>
    <definedName name="_30__123Graph_CCHART_23" hidden="1">'13 x 12'!$Y$13:$Y$62</definedName>
    <definedName name="_31__123Graph_CCHART_26" hidden="1">'Brd Link'!$T$40:$T$43</definedName>
    <definedName name="_32__123Graph_CCHART_6" hidden="1">ln23xln22!$AD$13:$AD$59</definedName>
    <definedName name="_33__123Graph_CCHART_8" hidden="1">ln03xln11!$AD$13:$AD$61</definedName>
    <definedName name="_34__123Graph_CCHART_9" hidden="1">ln12rpsxBYE!$AD$13:$AD$61</definedName>
    <definedName name="_35__123Graph_DCHART_1" hidden="1">ln13xln03!$AE$13:$AE$60</definedName>
    <definedName name="_36__123Graph_DCHART_10" hidden="1">ln12xln11!$AE$13:$AE$40</definedName>
    <definedName name="_37__123Graph_DCHART_11" hidden="1">ln22xln12!$AE$13:$AE$42</definedName>
    <definedName name="_38__123Graph_DCHART_16" hidden="1">'Brd Tbl'!$AU$18:$AU$44</definedName>
    <definedName name="_39__123Graph_DCHART_20" hidden="1">ln03xln02!$AE$13:$AE$56</definedName>
    <definedName name="_4__123Graph_ACHART_12" hidden="1">'Brd Tbl'!$AN$18:$AN$39</definedName>
    <definedName name="_4__123Graph_BMILES_DAILY" hidden="1">[1]A7!$Q$7:$Q$86</definedName>
    <definedName name="_40__123Graph_DCHART_23" hidden="1">'13 x 12'!$Z$13:$Z$62</definedName>
    <definedName name="_41__123Graph_DCHART_26" hidden="1">'Brd Link'!$I$40:$I$43</definedName>
    <definedName name="_42__123Graph_DCHART_6" hidden="1">ln23xln22!$AE$13:$AE$59</definedName>
    <definedName name="_43__123Graph_DCHART_8" hidden="1">ln03xln11!$AE$13:$AE$61</definedName>
    <definedName name="_44__123Graph_DCHART_9" hidden="1">ln12rpsxBYE!$AE$13:$AE$61</definedName>
    <definedName name="_45__123Graph_ECHART_1" hidden="1">ln13xln03!$AF$13:$AF$62</definedName>
    <definedName name="_46__123Graph_ECHART_10" hidden="1">ln12xln11!$AF$13:$AF$60</definedName>
    <definedName name="_47__123Graph_ECHART_11" hidden="1">ln22xln12!$AF$13:$AF$62</definedName>
    <definedName name="_48__123Graph_ECHART_15" hidden="1">Performance!$D$9:$D$24</definedName>
    <definedName name="_49__123Graph_ECHART_20" hidden="1">ln03xln02!$AF$13:$AF$58</definedName>
    <definedName name="_5__123Graph_ACHART_16" hidden="1">'Brd Tbl'!$AY$18:$AY$44</definedName>
    <definedName name="_5__123Graph_XCHART_1" hidden="1">[1]A7!$P$9:$P$84</definedName>
    <definedName name="_50__123Graph_ECHART_23" hidden="1">'13 x 12'!$AA$13:$AA$62</definedName>
    <definedName name="_51__123Graph_ECHART_6" hidden="1">ln23xln22!$AF$13:$AF$61</definedName>
    <definedName name="_52__123Graph_ECHART_8" hidden="1">ln03xln11!$AF$13:$AF$63</definedName>
    <definedName name="_53__123Graph_ECHART_9" hidden="1">ln12rpsxBYE!$AF$13:$AF$63</definedName>
    <definedName name="_54__123Graph_LBL_ACHART_12" hidden="1">'Brd Tbl'!$AM$18:$AM$39</definedName>
    <definedName name="_55__123Graph_LBL_BCHART_1" hidden="1">ln13xln03!$AC$13:$AC$60</definedName>
    <definedName name="_56__123Graph_LBL_BCHART_10" hidden="1">ln12xln11!$AC$13:$AC$40</definedName>
    <definedName name="_57__123Graph_LBL_BCHART_11" hidden="1">ln22xln12!$AC$13:$AC$42</definedName>
    <definedName name="_58__123Graph_LBL_BCHART_12" hidden="1">'Brd Tbl'!$AM$18:$AM$39</definedName>
    <definedName name="_59__123Graph_LBL_BCHART_20" hidden="1">ln03xln02!$AC$13:$AC$56</definedName>
    <definedName name="_6__123Graph_ACHART_20" hidden="1">ln03xln02!$AA$13:$AA$58</definedName>
    <definedName name="_6__123Graph_XMILES_DAILY" hidden="1">[1]A7!$P$7:$P$85</definedName>
    <definedName name="_60__123Graph_LBL_BCHART_6" hidden="1">ln23xln22!$AC$13:$AC$59</definedName>
    <definedName name="_61__123Graph_LBL_BCHART_8" hidden="1">ln03xln11!$AC$23:$AC$40</definedName>
    <definedName name="_62__123Graph_LBL_BCHART_9" hidden="1">ln12rpsxBYE!$AC$13:$AC$63</definedName>
    <definedName name="_63__123Graph_LBL_CCHART_15" hidden="1">Performance!$F$9:$F$23</definedName>
    <definedName name="_64__123Graph_LBL_ECHART_15" hidden="1">Performance!$E$9:$E$22</definedName>
    <definedName name="_65__123Graph_XCHART_9" hidden="1">ln12rpsxBYE!$Z$13:$Z$63</definedName>
    <definedName name="_7__123Graph_ACHART_21" hidden="1">'Brd Tbl'!$AN$8:$AN$39</definedName>
    <definedName name="_8__123Graph_ACHART_23" hidden="1">'13 x 12'!$W$13:$W$62</definedName>
    <definedName name="_9__123Graph_ACHART_26" hidden="1">'Brd Link'!$Q$40:$Q$43</definedName>
    <definedName name="_Cat1">[3]Overlay!$J$11</definedName>
    <definedName name="_Key1" hidden="1">ln03xln11!$B$12</definedName>
    <definedName name="_Order1" hidden="1">255</definedName>
    <definedName name="_Regression_X" hidden="1">ln03xln11!$C$13:$C$61</definedName>
    <definedName name="_Regression_Y" hidden="1">ln03xln11!$D$13:$D$61</definedName>
    <definedName name="AllYrs">ln23xln22!$B$13:$B$59</definedName>
    <definedName name="BRDLNK">'Brd Link'!$A$12:$E$43</definedName>
    <definedName name="BROODT">'Brd Tbl'!$A$8:$AX$60</definedName>
    <definedName name="DATE">#REF!</definedName>
    <definedName name="EhancedTotalRunForecast" localSheetId="12">'[4]Fcst Sumry'!$G$45</definedName>
    <definedName name="EhancedTotalRunForecast">'Fcst Sumry'!$G$45</definedName>
    <definedName name="EnhancedCCPForecast">'Fcst Sumry'!$G$64</definedName>
    <definedName name="FcastYr">'Fcst Sumry'!$B$3</definedName>
    <definedName name="FirstYR">ln23xln22!$B$13</definedName>
    <definedName name="FmDate9">[5]Overlay!$I$19</definedName>
    <definedName name="FtDate9">[5]Overlay!$F$19</definedName>
    <definedName name="FTITLE">'Fcst Sumry'!$B$4</definedName>
    <definedName name="here">Notes!$D$33</definedName>
    <definedName name="LLAKE" localSheetId="12">'[6]Comm Catch:Subs PU'!$A$54:$AJ$116</definedName>
    <definedName name="LLAKE">'[7]Comm Catch:Subs PU'!$A$54:$AJ$116</definedName>
    <definedName name="MainRegion">ln23xln22!$A$13:$AE$59</definedName>
    <definedName name="MSEAll">ln23xln22!$M$61</definedName>
    <definedName name="MSEcalcAll">ln23xln22!$O$64</definedName>
    <definedName name="MSEcalcL1O">ln23xln22!$O$63</definedName>
    <definedName name="MSEL1O">ln23xln22!$M$59</definedName>
    <definedName name="OutHere1">ln12rpsxBYE!$E$61</definedName>
    <definedName name="PartOne">RegOut!$A$2:$E$2</definedName>
    <definedName name="PartTwo">RegOut!$G$2:$H$2</definedName>
    <definedName name="PGRAPH" localSheetId="12">'F:\2013_Salmon':'[8]ln23xln13'!$A$54:$I$73</definedName>
    <definedName name="PGRAPH">ln12rpsxBYE:ln23xln13!$A$54:$I$73</definedName>
    <definedName name="_xlnm.Print_Area" localSheetId="9">Age1.2!$W$3:$AF$32</definedName>
    <definedName name="_xlnm.Print_Area" localSheetId="10">Age1.3!$W$3:$AF$32</definedName>
    <definedName name="_xlnm.Print_Area" localSheetId="5">'Average BY Return'!$A$4:$L$20</definedName>
    <definedName name="_xlnm.Print_Area" localSheetId="14">'Brd Tbl'!$AV$1:$BG$40</definedName>
    <definedName name="_xlnm.Print_Area" localSheetId="11">Charts!$A$2:$J$59</definedName>
    <definedName name="_xlnm.Print_Area" localSheetId="6">'Fcst Sumry'!$D$82:$N$103</definedName>
    <definedName name="_xlnm.Print_Area" localSheetId="4">'Forecast by Age'!$A$1:$I$32</definedName>
    <definedName name="_xlnm.Print_Area" localSheetId="19">ln12xln11!$A$9:$O$83</definedName>
    <definedName name="_xlnm.Print_Area" localSheetId="0">Notes!$A$1:$U$40</definedName>
    <definedName name="_xlnm.Print_Area" localSheetId="7">Performance!$I$63:$Y$136</definedName>
    <definedName name="_xlnm.Print_Area" localSheetId="3">'Rank data'!$A$11:$Z$151</definedName>
    <definedName name="PTABLE" localSheetId="12">'F:\2013_Salmon':'[8]ln23xln13'!$F$1:$AD$50</definedName>
    <definedName name="PTABLE">ln12rpsxBYE:ln23xln13!$F$1:$AD$50</definedName>
    <definedName name="ROut">RegOut!$A$5:$G$27</definedName>
    <definedName name="Rslts2All">ln23xln22!$K$61</definedName>
    <definedName name="Rslts2L1O">ln23xln22!$K$59</definedName>
    <definedName name="RsltsAll">ln23xln22!$E$61</definedName>
    <definedName name="RsltsL1O">ln23xln22!$E$59</definedName>
    <definedName name="SamSize1">[9]AgeComp!$B$10</definedName>
    <definedName name="SCAT" localSheetId="12">'[6]Comm Catch:Subs PU'!$A$51:$AJ$55</definedName>
    <definedName name="SCAT">'[7]Comm Catch:Subs PU'!$A$51:$AJ$55</definedName>
    <definedName name="SmDate1">[5]Overlay!$G$11</definedName>
    <definedName name="StDate1">[5]Overlay!$D$11</definedName>
    <definedName name="SummarySheet1">'Fcst Sumry'!$A$1:$N$45</definedName>
    <definedName name="SummarySheet2">'Fcst Sumry'!$A$46:$N$102</definedName>
    <definedName name="TEXT">#REF!</definedName>
    <definedName name="TotalCatch">#REF!</definedName>
    <definedName name="tval" localSheetId="12">'[10]t table'!$A$7:$G$47</definedName>
    <definedName name="TVAL">ttab!$A$4:$G$44</definedName>
    <definedName name="WildCCPForecast">'Fcst Sumry'!$G$58</definedName>
    <definedName name="WildTotalRunForecast" localSheetId="12">'[4]Fcst Sumry'!$G$51</definedName>
    <definedName name="WildTotalRunForecast">'Fcst Sumry'!$G$51</definedName>
    <definedName name="WL">#REF!</definedName>
    <definedName name="XRangeAll">ln23xln22!$C$13:$C$59</definedName>
    <definedName name="XRangeL1O">ln23xln22!$C$13:$C$58</definedName>
    <definedName name="YestAll">ln23xln22!$J$61</definedName>
    <definedName name="YestL1O">ln23xln22!$J$59</definedName>
    <definedName name="YRangeAll">ln23xln22!$D$13:$D$59</definedName>
    <definedName name="YRangeL1O">ln23xln22!$D$13:$D$58</definedName>
  </definedNames>
  <calcPr calcId="145621" iterate="1"/>
</workbook>
</file>

<file path=xl/calcChain.xml><?xml version="1.0" encoding="utf-8"?>
<calcChain xmlns="http://schemas.openxmlformats.org/spreadsheetml/2006/main">
  <c r="R54" i="31" l="1"/>
  <c r="R53" i="31"/>
  <c r="BE106" i="25"/>
  <c r="BE107" i="25"/>
  <c r="BE108" i="25"/>
  <c r="BE109" i="25"/>
  <c r="BE110" i="25"/>
  <c r="BE111" i="25"/>
  <c r="BE112" i="25"/>
  <c r="BE113" i="25"/>
  <c r="BE114" i="25"/>
  <c r="BE115" i="25"/>
  <c r="BE116" i="25"/>
  <c r="BE117" i="25"/>
  <c r="BE118" i="25"/>
  <c r="BE119" i="25"/>
  <c r="BE120" i="25"/>
  <c r="BE121" i="25"/>
  <c r="BE122" i="25"/>
  <c r="BE123" i="25"/>
  <c r="BE124" i="25"/>
  <c r="BE125" i="25"/>
  <c r="BE126" i="25"/>
  <c r="BE127" i="25"/>
  <c r="BE128" i="25"/>
  <c r="BE129" i="25"/>
  <c r="BE130" i="25"/>
  <c r="BE131" i="25"/>
  <c r="BE132" i="25"/>
  <c r="BE133" i="25"/>
  <c r="BE134" i="25"/>
  <c r="BE135" i="25"/>
  <c r="BE136" i="25"/>
  <c r="BE137" i="25"/>
  <c r="BE138" i="25"/>
  <c r="BE139" i="25"/>
  <c r="BE140" i="25"/>
  <c r="BE141" i="25"/>
  <c r="BE142" i="25"/>
  <c r="BE143" i="25"/>
  <c r="BE105" i="25"/>
  <c r="BB94" i="25"/>
  <c r="BB95" i="25"/>
  <c r="BB96" i="25"/>
  <c r="BB97" i="25"/>
  <c r="BB98" i="25"/>
  <c r="BB99" i="25"/>
  <c r="BB100" i="25"/>
  <c r="BB101" i="25"/>
  <c r="BB102" i="25"/>
  <c r="BB103" i="25"/>
  <c r="BB104" i="25"/>
  <c r="BB105" i="25"/>
  <c r="BB106" i="25"/>
  <c r="BB107" i="25"/>
  <c r="BB108" i="25"/>
  <c r="BB109" i="25"/>
  <c r="BB110" i="25"/>
  <c r="BB111" i="25"/>
  <c r="BB112" i="25"/>
  <c r="BB113" i="25"/>
  <c r="BB114" i="25"/>
  <c r="BB115" i="25"/>
  <c r="BB116" i="25"/>
  <c r="BB117" i="25"/>
  <c r="BB118" i="25"/>
  <c r="BB119" i="25"/>
  <c r="BB120" i="25"/>
  <c r="BB121" i="25"/>
  <c r="BB122" i="25"/>
  <c r="BB123" i="25"/>
  <c r="BB124" i="25"/>
  <c r="BB125" i="25"/>
  <c r="BB126" i="25"/>
  <c r="BB127" i="25"/>
  <c r="BB128" i="25"/>
  <c r="BB129" i="25"/>
  <c r="BB130" i="25"/>
  <c r="BB131" i="25"/>
  <c r="BB132" i="25"/>
  <c r="BB133" i="25"/>
  <c r="BB134" i="25"/>
  <c r="BB135" i="25"/>
  <c r="BB136" i="25"/>
  <c r="BB137" i="25"/>
  <c r="BB138" i="25"/>
  <c r="BB139" i="25"/>
  <c r="BB140" i="25"/>
  <c r="BB141" i="25"/>
  <c r="BB142" i="25"/>
  <c r="BB93" i="25"/>
  <c r="AY94" i="25"/>
  <c r="AZ94" i="25"/>
  <c r="BA94" i="25"/>
  <c r="AY95" i="25"/>
  <c r="AZ95" i="25"/>
  <c r="BA95" i="25"/>
  <c r="AY96" i="25"/>
  <c r="AZ96" i="25"/>
  <c r="BA96" i="25"/>
  <c r="AY97" i="25"/>
  <c r="AZ97" i="25"/>
  <c r="BA97" i="25"/>
  <c r="AY98" i="25"/>
  <c r="AZ98" i="25"/>
  <c r="BA98" i="25"/>
  <c r="AY99" i="25"/>
  <c r="AZ99" i="25"/>
  <c r="BA99" i="25"/>
  <c r="AY100" i="25"/>
  <c r="AZ100" i="25"/>
  <c r="BA100" i="25"/>
  <c r="AY101" i="25"/>
  <c r="AZ101" i="25"/>
  <c r="BA101" i="25"/>
  <c r="AY102" i="25"/>
  <c r="AZ102" i="25"/>
  <c r="BA102" i="25"/>
  <c r="AY103" i="25"/>
  <c r="AZ103" i="25"/>
  <c r="BA103" i="25"/>
  <c r="AY104" i="25"/>
  <c r="AZ104" i="25"/>
  <c r="BA104" i="25"/>
  <c r="AY105" i="25"/>
  <c r="AZ105" i="25"/>
  <c r="BA105" i="25"/>
  <c r="AY106" i="25"/>
  <c r="AZ106" i="25"/>
  <c r="BA106" i="25"/>
  <c r="AY107" i="25"/>
  <c r="AZ107" i="25"/>
  <c r="BA107" i="25"/>
  <c r="AY108" i="25"/>
  <c r="AZ108" i="25"/>
  <c r="BA108" i="25"/>
  <c r="AY109" i="25"/>
  <c r="AZ109" i="25"/>
  <c r="BA109" i="25"/>
  <c r="AY110" i="25"/>
  <c r="AZ110" i="25"/>
  <c r="BA110" i="25"/>
  <c r="AY111" i="25"/>
  <c r="AZ111" i="25"/>
  <c r="BA111" i="25"/>
  <c r="AY112" i="25"/>
  <c r="AZ112" i="25"/>
  <c r="BA112" i="25"/>
  <c r="AY113" i="25"/>
  <c r="AZ113" i="25"/>
  <c r="BA113" i="25"/>
  <c r="AY114" i="25"/>
  <c r="AZ114" i="25"/>
  <c r="BA114" i="25"/>
  <c r="AY115" i="25"/>
  <c r="AZ115" i="25"/>
  <c r="BA115" i="25"/>
  <c r="AY116" i="25"/>
  <c r="AZ116" i="25"/>
  <c r="BA116" i="25"/>
  <c r="AY117" i="25"/>
  <c r="AZ117" i="25"/>
  <c r="BA117" i="25"/>
  <c r="AY118" i="25"/>
  <c r="AZ118" i="25"/>
  <c r="BA118" i="25"/>
  <c r="AY119" i="25"/>
  <c r="AZ119" i="25"/>
  <c r="BA119" i="25"/>
  <c r="AY120" i="25"/>
  <c r="AZ120" i="25"/>
  <c r="BA120" i="25"/>
  <c r="AY121" i="25"/>
  <c r="AZ121" i="25"/>
  <c r="BA121" i="25"/>
  <c r="AY122" i="25"/>
  <c r="AZ122" i="25"/>
  <c r="BA122" i="25"/>
  <c r="AY123" i="25"/>
  <c r="AZ123" i="25"/>
  <c r="BA123" i="25"/>
  <c r="AY124" i="25"/>
  <c r="AZ124" i="25"/>
  <c r="BA124" i="25"/>
  <c r="AY125" i="25"/>
  <c r="AZ125" i="25"/>
  <c r="BA125" i="25"/>
  <c r="AY126" i="25"/>
  <c r="AZ126" i="25"/>
  <c r="BA126" i="25"/>
  <c r="AY127" i="25"/>
  <c r="AZ127" i="25"/>
  <c r="BA127" i="25"/>
  <c r="AY128" i="25"/>
  <c r="AZ128" i="25"/>
  <c r="BA128" i="25"/>
  <c r="AY129" i="25"/>
  <c r="AZ129" i="25"/>
  <c r="BA129" i="25"/>
  <c r="AY130" i="25"/>
  <c r="AZ130" i="25"/>
  <c r="BA130" i="25"/>
  <c r="AY131" i="25"/>
  <c r="AZ131" i="25"/>
  <c r="BA131" i="25"/>
  <c r="AY132" i="25"/>
  <c r="AZ132" i="25"/>
  <c r="BA132" i="25"/>
  <c r="AY133" i="25"/>
  <c r="AZ133" i="25"/>
  <c r="BA133" i="25"/>
  <c r="AY134" i="25"/>
  <c r="AZ134" i="25"/>
  <c r="BA134" i="25"/>
  <c r="AY135" i="25"/>
  <c r="AZ135" i="25"/>
  <c r="BA135" i="25"/>
  <c r="AY136" i="25"/>
  <c r="AZ136" i="25"/>
  <c r="BA136" i="25"/>
  <c r="AY137" i="25"/>
  <c r="AZ137" i="25"/>
  <c r="BA137" i="25"/>
  <c r="AY138" i="25"/>
  <c r="AZ138" i="25"/>
  <c r="BA138" i="25"/>
  <c r="AY139" i="25"/>
  <c r="AZ139" i="25"/>
  <c r="BA139" i="25"/>
  <c r="AY140" i="25"/>
  <c r="AZ140" i="25"/>
  <c r="BA140" i="25"/>
  <c r="AY141" i="25"/>
  <c r="AZ141" i="25"/>
  <c r="BA141" i="25"/>
  <c r="AY142" i="25"/>
  <c r="AZ142" i="25"/>
  <c r="BA142" i="25"/>
  <c r="AY143" i="25"/>
  <c r="BA143" i="25"/>
  <c r="BA93" i="25"/>
  <c r="AZ93" i="25"/>
  <c r="AY93" i="25"/>
  <c r="G144" i="3" l="1"/>
  <c r="F29" i="28"/>
  <c r="F28" i="28"/>
  <c r="F27" i="28"/>
  <c r="G12" i="28"/>
  <c r="E12" i="28"/>
  <c r="F12" i="28"/>
  <c r="D12" i="28"/>
  <c r="F17" i="29" l="1"/>
  <c r="H17" i="29"/>
  <c r="B54" i="32" l="1"/>
  <c r="D54" i="32" s="1"/>
  <c r="C54" i="32"/>
  <c r="E54" i="32"/>
  <c r="B53" i="32"/>
  <c r="D53" i="32" s="1"/>
  <c r="C53" i="32"/>
  <c r="E53" i="32"/>
  <c r="C138" i="3"/>
  <c r="C139" i="3"/>
  <c r="C94" i="3"/>
  <c r="C95" i="3"/>
  <c r="E69" i="5" l="1"/>
  <c r="E58" i="5"/>
  <c r="B59" i="16"/>
  <c r="B58" i="16"/>
  <c r="B57" i="16"/>
  <c r="B56" i="16"/>
  <c r="B55" i="16"/>
  <c r="B54" i="16"/>
  <c r="B53" i="16"/>
  <c r="B52" i="16"/>
  <c r="B51" i="16"/>
  <c r="B50" i="16"/>
  <c r="B49" i="16"/>
  <c r="B48" i="16"/>
  <c r="B47" i="16"/>
  <c r="B46" i="16"/>
  <c r="B45" i="16"/>
  <c r="B44" i="16"/>
  <c r="B43" i="16"/>
  <c r="B42" i="16"/>
  <c r="B41" i="16"/>
  <c r="B40" i="16"/>
  <c r="B39" i="16"/>
  <c r="B38" i="16"/>
  <c r="B37" i="16"/>
  <c r="B36" i="16"/>
  <c r="B35" i="16"/>
  <c r="B34" i="16"/>
  <c r="B33" i="16"/>
  <c r="B32" i="16"/>
  <c r="B31" i="16"/>
  <c r="B30" i="16"/>
  <c r="B29" i="16"/>
  <c r="B28" i="16"/>
  <c r="B27" i="16"/>
  <c r="B26" i="16"/>
  <c r="B25" i="16"/>
  <c r="B24" i="16"/>
  <c r="B23" i="16"/>
  <c r="B22" i="16"/>
  <c r="B21" i="16"/>
  <c r="B20" i="16"/>
  <c r="B19" i="16"/>
  <c r="B18" i="16"/>
  <c r="B17" i="16"/>
  <c r="B16" i="16"/>
  <c r="B15" i="16"/>
  <c r="B14" i="16"/>
  <c r="B13" i="16"/>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60" i="14"/>
  <c r="B59" i="14"/>
  <c r="B58" i="14"/>
  <c r="B57" i="14"/>
  <c r="B56" i="14"/>
  <c r="B55" i="14"/>
  <c r="B54" i="14"/>
  <c r="B53" i="14"/>
  <c r="B52" i="14"/>
  <c r="B51"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B23" i="14"/>
  <c r="B22" i="14"/>
  <c r="B21" i="14"/>
  <c r="B20" i="14"/>
  <c r="B19" i="14"/>
  <c r="B18" i="14"/>
  <c r="B17" i="14"/>
  <c r="B16" i="14"/>
  <c r="B15" i="14"/>
  <c r="B14" i="14"/>
  <c r="B13" i="14"/>
  <c r="B60" i="12"/>
  <c r="B59" i="12"/>
  <c r="B58" i="12"/>
  <c r="B57" i="12"/>
  <c r="B56" i="12"/>
  <c r="B55" i="12"/>
  <c r="B54" i="12"/>
  <c r="B53" i="12"/>
  <c r="B52" i="12"/>
  <c r="B51" i="12"/>
  <c r="B50" i="12"/>
  <c r="B49" i="12"/>
  <c r="B48" i="12"/>
  <c r="B47" i="12"/>
  <c r="B46" i="12"/>
  <c r="B45" i="12"/>
  <c r="B44" i="12"/>
  <c r="B43" i="12"/>
  <c r="B42" i="12"/>
  <c r="B41" i="12"/>
  <c r="B40" i="12"/>
  <c r="B39" i="12"/>
  <c r="B38" i="12"/>
  <c r="B37" i="12"/>
  <c r="B36" i="12"/>
  <c r="B35" i="12"/>
  <c r="B34" i="12"/>
  <c r="B33" i="12"/>
  <c r="B32" i="12"/>
  <c r="B31" i="12"/>
  <c r="B30" i="12"/>
  <c r="B29" i="12"/>
  <c r="B28" i="12"/>
  <c r="B27" i="12"/>
  <c r="B26" i="12"/>
  <c r="B25" i="12"/>
  <c r="B24" i="12"/>
  <c r="B23" i="12"/>
  <c r="B22" i="12"/>
  <c r="B21" i="12"/>
  <c r="B20" i="12"/>
  <c r="B19" i="12"/>
  <c r="B18" i="12"/>
  <c r="B17" i="12"/>
  <c r="B16" i="12"/>
  <c r="B15" i="12"/>
  <c r="B14" i="12"/>
  <c r="B13" i="12"/>
  <c r="P59" i="12"/>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B29" i="11"/>
  <c r="B28" i="11"/>
  <c r="B27" i="11"/>
  <c r="B26" i="11"/>
  <c r="B25" i="11"/>
  <c r="B24" i="11"/>
  <c r="B23" i="11"/>
  <c r="B22" i="11"/>
  <c r="B21" i="11"/>
  <c r="B20" i="11"/>
  <c r="B19" i="11"/>
  <c r="B18" i="11"/>
  <c r="B17" i="11"/>
  <c r="B16" i="11"/>
  <c r="B15" i="11"/>
  <c r="B14" i="11"/>
  <c r="B13" i="11"/>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60" i="24"/>
  <c r="B59" i="24"/>
  <c r="B58" i="24"/>
  <c r="B57" i="24"/>
  <c r="B56" i="24"/>
  <c r="B55" i="24"/>
  <c r="B54" i="24"/>
  <c r="B53" i="24"/>
  <c r="B52" i="24"/>
  <c r="B51" i="24"/>
  <c r="B50" i="24"/>
  <c r="B49" i="24"/>
  <c r="B48" i="24"/>
  <c r="B47" i="24"/>
  <c r="B46" i="24"/>
  <c r="B45" i="24"/>
  <c r="B44" i="24"/>
  <c r="B43" i="24"/>
  <c r="B42" i="24"/>
  <c r="B41" i="24"/>
  <c r="B40" i="24"/>
  <c r="B39" i="24"/>
  <c r="B38" i="24"/>
  <c r="B37" i="24"/>
  <c r="B36" i="24"/>
  <c r="B35" i="24"/>
  <c r="B34" i="24"/>
  <c r="B33" i="24"/>
  <c r="B32" i="24"/>
  <c r="B31" i="24"/>
  <c r="B30" i="24"/>
  <c r="B29" i="24"/>
  <c r="B28" i="24"/>
  <c r="B27" i="24"/>
  <c r="B26" i="24"/>
  <c r="B25" i="24"/>
  <c r="B24" i="24"/>
  <c r="B23" i="24"/>
  <c r="B22" i="24"/>
  <c r="B21" i="24"/>
  <c r="B20" i="24"/>
  <c r="B19" i="24"/>
  <c r="B18" i="24"/>
  <c r="B17" i="24"/>
  <c r="B16" i="24"/>
  <c r="B15" i="24"/>
  <c r="B14" i="24"/>
  <c r="B13" i="24"/>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P60" i="8"/>
  <c r="B56" i="19"/>
  <c r="B55" i="19"/>
  <c r="B54" i="19"/>
  <c r="B53" i="19"/>
  <c r="B52" i="19"/>
  <c r="B51" i="19"/>
  <c r="B50" i="19"/>
  <c r="B49" i="19"/>
  <c r="B48" i="19"/>
  <c r="B47" i="19"/>
  <c r="B46" i="19"/>
  <c r="B45" i="19"/>
  <c r="B44" i="19"/>
  <c r="B43" i="19"/>
  <c r="B42" i="19"/>
  <c r="B41" i="19"/>
  <c r="B40" i="19"/>
  <c r="B39" i="19"/>
  <c r="B38" i="19"/>
  <c r="B37" i="19"/>
  <c r="B36" i="19"/>
  <c r="B35" i="19"/>
  <c r="B34" i="19"/>
  <c r="B33" i="19"/>
  <c r="B32" i="19"/>
  <c r="B31" i="19"/>
  <c r="B30" i="19"/>
  <c r="B29" i="19"/>
  <c r="B28" i="19"/>
  <c r="B27" i="19"/>
  <c r="B26" i="19"/>
  <c r="B25" i="19"/>
  <c r="B24" i="19"/>
  <c r="B23" i="19"/>
  <c r="B22" i="19"/>
  <c r="B21" i="19"/>
  <c r="B20" i="19"/>
  <c r="B19" i="19"/>
  <c r="B18" i="19"/>
  <c r="B17" i="19"/>
  <c r="B16" i="19"/>
  <c r="B15" i="19"/>
  <c r="B14" i="19"/>
  <c r="B13" i="19"/>
  <c r="P55" i="19"/>
  <c r="U55" i="19" s="1"/>
  <c r="B61" i="18"/>
  <c r="B60" i="18"/>
  <c r="B59" i="18"/>
  <c r="B58" i="18"/>
  <c r="B57" i="18"/>
  <c r="B56" i="18"/>
  <c r="B55" i="18"/>
  <c r="B54" i="18"/>
  <c r="B53" i="18"/>
  <c r="B52" i="18"/>
  <c r="B51" i="18"/>
  <c r="B50" i="18"/>
  <c r="B49" i="18"/>
  <c r="B48" i="18"/>
  <c r="B47" i="18"/>
  <c r="B46" i="18"/>
  <c r="B45" i="18"/>
  <c r="B44" i="18"/>
  <c r="B43" i="18"/>
  <c r="B42" i="18"/>
  <c r="B41" i="18"/>
  <c r="B40" i="18"/>
  <c r="B39" i="18"/>
  <c r="B38" i="18"/>
  <c r="B37" i="18"/>
  <c r="B36" i="18"/>
  <c r="B35" i="18"/>
  <c r="B34" i="18"/>
  <c r="B33" i="18"/>
  <c r="B32" i="18"/>
  <c r="B31" i="18"/>
  <c r="B30" i="18"/>
  <c r="B29" i="18"/>
  <c r="B28" i="18"/>
  <c r="B27" i="18"/>
  <c r="B26" i="18"/>
  <c r="B25" i="18"/>
  <c r="B24" i="18"/>
  <c r="B23" i="18"/>
  <c r="B22" i="18"/>
  <c r="B21" i="18"/>
  <c r="B20" i="18"/>
  <c r="B19" i="18"/>
  <c r="B18" i="18"/>
  <c r="B17" i="18"/>
  <c r="B16" i="18"/>
  <c r="B15" i="18"/>
  <c r="B14" i="18"/>
  <c r="B13" i="18"/>
  <c r="P60" i="18"/>
  <c r="U60" i="18" s="1"/>
  <c r="U58" i="17"/>
  <c r="P58" i="17"/>
  <c r="B58" i="17"/>
  <c r="AI58" i="16"/>
  <c r="P58" i="16"/>
  <c r="AI59" i="15"/>
  <c r="P59" i="15"/>
  <c r="U59" i="15" s="1"/>
  <c r="P59" i="14"/>
  <c r="U59" i="14" s="1"/>
  <c r="U59" i="12"/>
  <c r="P59" i="13"/>
  <c r="U59" i="13" s="1"/>
  <c r="P59" i="11"/>
  <c r="U59" i="11" s="1"/>
  <c r="P59" i="10"/>
  <c r="P59" i="24"/>
  <c r="P57" i="9"/>
  <c r="U57" i="9" s="1"/>
  <c r="AI60" i="8"/>
  <c r="C55" i="19"/>
  <c r="Z55" i="19" s="1"/>
  <c r="C60" i="18"/>
  <c r="AA60" i="18" s="1"/>
  <c r="U58" i="16" l="1"/>
  <c r="AA55" i="19"/>
  <c r="Z60" i="18"/>
  <c r="E52" i="33"/>
  <c r="Q25" i="30"/>
  <c r="Q12" i="30"/>
  <c r="G61" i="30"/>
  <c r="H61" i="30"/>
  <c r="I61" i="30"/>
  <c r="J61" i="30"/>
  <c r="K61" i="30"/>
  <c r="L61" i="30"/>
  <c r="M61" i="30"/>
  <c r="N61" i="30"/>
  <c r="O61" i="30"/>
  <c r="P61" i="30"/>
  <c r="F61" i="30"/>
  <c r="B61" i="30"/>
  <c r="C61" i="30"/>
  <c r="D61" i="30"/>
  <c r="E61" i="30"/>
  <c r="U53" i="31"/>
  <c r="T53" i="31"/>
  <c r="U52" i="31"/>
  <c r="T52" i="31"/>
  <c r="R52" i="31"/>
  <c r="Q4" i="31"/>
  <c r="Q5" i="31"/>
  <c r="Q6" i="31"/>
  <c r="Q7" i="31"/>
  <c r="Q8" i="31"/>
  <c r="Q9" i="31"/>
  <c r="Q10" i="31"/>
  <c r="Q11" i="31"/>
  <c r="Q12" i="31"/>
  <c r="Q13" i="31"/>
  <c r="Q14" i="31"/>
  <c r="Q15" i="31"/>
  <c r="Q16" i="31"/>
  <c r="Q17" i="31"/>
  <c r="Q18" i="31"/>
  <c r="Q19" i="31"/>
  <c r="Q20" i="31"/>
  <c r="Q21" i="31"/>
  <c r="Q22" i="31"/>
  <c r="Q23" i="31"/>
  <c r="Q24" i="31"/>
  <c r="Q25" i="31"/>
  <c r="Q26" i="31"/>
  <c r="Q27" i="31"/>
  <c r="Q28" i="31"/>
  <c r="Q29" i="31"/>
  <c r="Q30" i="31"/>
  <c r="Q31" i="31"/>
  <c r="Q32" i="31"/>
  <c r="Q33" i="31"/>
  <c r="Q34" i="31"/>
  <c r="Q35" i="31"/>
  <c r="Q36" i="31"/>
  <c r="Q37" i="31"/>
  <c r="Q38" i="31"/>
  <c r="Q39" i="31"/>
  <c r="Q40" i="31"/>
  <c r="Q41" i="31"/>
  <c r="Q42" i="31"/>
  <c r="Q43" i="31"/>
  <c r="Q45" i="31"/>
  <c r="Q46" i="31"/>
  <c r="Q47" i="31"/>
  <c r="Q48" i="31"/>
  <c r="Q49" i="31"/>
  <c r="Q50" i="31"/>
  <c r="Q51" i="31"/>
  <c r="Q52" i="31"/>
  <c r="Q53" i="31"/>
  <c r="Q44" i="31"/>
  <c r="P53" i="31"/>
  <c r="B29" i="31"/>
  <c r="C29" i="31"/>
  <c r="E29" i="31" s="1"/>
  <c r="D29" i="31"/>
  <c r="B30" i="31"/>
  <c r="C30" i="31"/>
  <c r="D30" i="31"/>
  <c r="E30" i="31"/>
  <c r="Q61" i="30" l="1"/>
  <c r="I56" i="3"/>
  <c r="I55" i="3"/>
  <c r="I54" i="3"/>
  <c r="I53" i="3"/>
  <c r="C55" i="3"/>
  <c r="C54" i="3"/>
  <c r="C53" i="3"/>
  <c r="J40" i="3"/>
  <c r="D40" i="3"/>
  <c r="C58" i="34"/>
  <c r="G43" i="34"/>
  <c r="G44" i="34"/>
  <c r="G40" i="3" l="1"/>
  <c r="D95" i="3"/>
  <c r="E95" i="3" s="1"/>
  <c r="F95" i="3" s="1"/>
  <c r="G95" i="3" s="1"/>
  <c r="K40" i="3"/>
  <c r="D139" i="3"/>
  <c r="E139" i="3" s="1"/>
  <c r="F139" i="3" s="1"/>
  <c r="G139" i="3" s="1"/>
  <c r="F40" i="3"/>
  <c r="H40" i="3"/>
  <c r="L40" i="3"/>
  <c r="R18" i="30"/>
  <c r="R26" i="30"/>
  <c r="R34" i="30"/>
  <c r="R42" i="30"/>
  <c r="R50" i="30"/>
  <c r="R59" i="30"/>
  <c r="R29" i="30"/>
  <c r="R53" i="30"/>
  <c r="R41" i="30"/>
  <c r="R19" i="30"/>
  <c r="R27" i="30"/>
  <c r="R35" i="30"/>
  <c r="R43" i="30"/>
  <c r="R51" i="30"/>
  <c r="R60" i="30"/>
  <c r="R21" i="30"/>
  <c r="R37" i="30"/>
  <c r="R55" i="30"/>
  <c r="R49" i="30"/>
  <c r="R12" i="30"/>
  <c r="R20" i="30"/>
  <c r="R28" i="30"/>
  <c r="R36" i="30"/>
  <c r="R44" i="30"/>
  <c r="R52" i="30"/>
  <c r="R61" i="30"/>
  <c r="R13" i="30"/>
  <c r="R45" i="30"/>
  <c r="R25" i="30"/>
  <c r="R58" i="30"/>
  <c r="R14" i="30"/>
  <c r="R22" i="30"/>
  <c r="R30" i="30"/>
  <c r="R38" i="30"/>
  <c r="R46" i="30"/>
  <c r="R54" i="30"/>
  <c r="R15" i="30"/>
  <c r="R23" i="30"/>
  <c r="R31" i="30"/>
  <c r="R39" i="30"/>
  <c r="R47" i="30"/>
  <c r="R56" i="30"/>
  <c r="R16" i="30"/>
  <c r="R24" i="30"/>
  <c r="R32" i="30"/>
  <c r="R40" i="30"/>
  <c r="R48" i="30"/>
  <c r="R57" i="30"/>
  <c r="R17" i="30"/>
  <c r="R33" i="30"/>
  <c r="F44" i="34"/>
  <c r="H44" i="34" s="1"/>
  <c r="F45" i="34"/>
  <c r="C47" i="34"/>
  <c r="G39" i="2" l="1"/>
  <c r="AC148" i="25" l="1"/>
  <c r="AB147" i="25"/>
  <c r="AA147" i="25"/>
  <c r="B148" i="25"/>
  <c r="AC142" i="25"/>
  <c r="AC98" i="25"/>
  <c r="AC99" i="25"/>
  <c r="AC100" i="25"/>
  <c r="AC101" i="25"/>
  <c r="AC102" i="25"/>
  <c r="AC103" i="25"/>
  <c r="AC104" i="25"/>
  <c r="AC105" i="25"/>
  <c r="AC106" i="25"/>
  <c r="AC107" i="25"/>
  <c r="AC108" i="25"/>
  <c r="AC109" i="25"/>
  <c r="AC110" i="25"/>
  <c r="AC111" i="25"/>
  <c r="AC112" i="25"/>
  <c r="AC113" i="25"/>
  <c r="AC114" i="25"/>
  <c r="AC115" i="25"/>
  <c r="AC116" i="25"/>
  <c r="AC117" i="25"/>
  <c r="AC118" i="25"/>
  <c r="AC119" i="25"/>
  <c r="AC120" i="25"/>
  <c r="AC121" i="25"/>
  <c r="AC122" i="25"/>
  <c r="AC123" i="25"/>
  <c r="AC124" i="25"/>
  <c r="AC125" i="25"/>
  <c r="AC126" i="25"/>
  <c r="AC127" i="25"/>
  <c r="AC128" i="25"/>
  <c r="AC129" i="25"/>
  <c r="AC130" i="25"/>
  <c r="AC131" i="25"/>
  <c r="AC132" i="25"/>
  <c r="AC133" i="25"/>
  <c r="AC134" i="25"/>
  <c r="AC135" i="25"/>
  <c r="AC136" i="25"/>
  <c r="AC137" i="25"/>
  <c r="AC138" i="25"/>
  <c r="AC139" i="25"/>
  <c r="AC140" i="25"/>
  <c r="AC141" i="25"/>
  <c r="AC97" i="25"/>
  <c r="AB142" i="25"/>
  <c r="AB106" i="25"/>
  <c r="AB107" i="25"/>
  <c r="AB108" i="25"/>
  <c r="AB109" i="25"/>
  <c r="AB110" i="25"/>
  <c r="AB111" i="25"/>
  <c r="AB112" i="25"/>
  <c r="AB113" i="25"/>
  <c r="AB114" i="25"/>
  <c r="AB115" i="25"/>
  <c r="AB116" i="25"/>
  <c r="AB117" i="25"/>
  <c r="AB118" i="25"/>
  <c r="AB119" i="25"/>
  <c r="AB120" i="25"/>
  <c r="AB121" i="25"/>
  <c r="AB122" i="25"/>
  <c r="AB123" i="25"/>
  <c r="AB124" i="25"/>
  <c r="AB125" i="25"/>
  <c r="AB126" i="25"/>
  <c r="AB127" i="25"/>
  <c r="AB128" i="25"/>
  <c r="AB129" i="25"/>
  <c r="AB130" i="25"/>
  <c r="AB131" i="25"/>
  <c r="AB132" i="25"/>
  <c r="AB133" i="25"/>
  <c r="AB134" i="25"/>
  <c r="AB135" i="25"/>
  <c r="AB136" i="25"/>
  <c r="AB137" i="25"/>
  <c r="AB138" i="25"/>
  <c r="AB139" i="25"/>
  <c r="AB140" i="25"/>
  <c r="AB141" i="25"/>
  <c r="AA142" i="25"/>
  <c r="AA98" i="25"/>
  <c r="AA99" i="25"/>
  <c r="AA100" i="25"/>
  <c r="AA101" i="25"/>
  <c r="AA102" i="25"/>
  <c r="AA103" i="25"/>
  <c r="AA104" i="25"/>
  <c r="AA105" i="25"/>
  <c r="AA106" i="25"/>
  <c r="AA107" i="25"/>
  <c r="AA108" i="25"/>
  <c r="AA109" i="25"/>
  <c r="AA110" i="25"/>
  <c r="AA111" i="25"/>
  <c r="AA112" i="25"/>
  <c r="AA113" i="25"/>
  <c r="AA114" i="25"/>
  <c r="AA115" i="25"/>
  <c r="AA116" i="25"/>
  <c r="AA117" i="25"/>
  <c r="AA118" i="25"/>
  <c r="AA119" i="25"/>
  <c r="AA120" i="25"/>
  <c r="AA121" i="25"/>
  <c r="AA122" i="25"/>
  <c r="AA123" i="25"/>
  <c r="AA124" i="25"/>
  <c r="AA125" i="25"/>
  <c r="AA126" i="25"/>
  <c r="AA127" i="25"/>
  <c r="AA128" i="25"/>
  <c r="AA129" i="25"/>
  <c r="AA130" i="25"/>
  <c r="AA131" i="25"/>
  <c r="AA132" i="25"/>
  <c r="AA133" i="25"/>
  <c r="AA134" i="25"/>
  <c r="AA135" i="25"/>
  <c r="AA136" i="25"/>
  <c r="AA137" i="25"/>
  <c r="AA138" i="25"/>
  <c r="AA139" i="25"/>
  <c r="AA140" i="25"/>
  <c r="AA141" i="25"/>
  <c r="Z142" i="25"/>
  <c r="Z109" i="25"/>
  <c r="Z110" i="25"/>
  <c r="Z111" i="25"/>
  <c r="Z112" i="25"/>
  <c r="Z113" i="25"/>
  <c r="Z114" i="25"/>
  <c r="Z115" i="25"/>
  <c r="Z116" i="25"/>
  <c r="Z117" i="25"/>
  <c r="Z118" i="25"/>
  <c r="Z119" i="25"/>
  <c r="Z120" i="25"/>
  <c r="Z121" i="25"/>
  <c r="Z122" i="25"/>
  <c r="Z123" i="25"/>
  <c r="Z124" i="25"/>
  <c r="Z125" i="25"/>
  <c r="Z126" i="25"/>
  <c r="Z127" i="25"/>
  <c r="Z128" i="25"/>
  <c r="Z129" i="25"/>
  <c r="Z130" i="25"/>
  <c r="Z131" i="25"/>
  <c r="Z132" i="25"/>
  <c r="Z133" i="25"/>
  <c r="Z134" i="25"/>
  <c r="Z135" i="25"/>
  <c r="Z136" i="25"/>
  <c r="Z137" i="25"/>
  <c r="Z138" i="25"/>
  <c r="Z139" i="25"/>
  <c r="Z140" i="25"/>
  <c r="Z141" i="25"/>
  <c r="Z108" i="25"/>
  <c r="S140" i="25"/>
  <c r="U134" i="25"/>
  <c r="U142" i="25"/>
  <c r="W142" i="25"/>
  <c r="W109" i="25"/>
  <c r="W110" i="25"/>
  <c r="W111" i="25"/>
  <c r="W112" i="25"/>
  <c r="W113" i="25"/>
  <c r="W114" i="25"/>
  <c r="W115" i="25"/>
  <c r="W116" i="25"/>
  <c r="W117" i="25"/>
  <c r="W118" i="25"/>
  <c r="W119" i="25"/>
  <c r="W120" i="25"/>
  <c r="W121" i="25"/>
  <c r="W122" i="25"/>
  <c r="W123" i="25"/>
  <c r="W124" i="25"/>
  <c r="W125" i="25"/>
  <c r="W126" i="25"/>
  <c r="W127" i="25"/>
  <c r="W128" i="25"/>
  <c r="W129" i="25"/>
  <c r="W130" i="25"/>
  <c r="W131" i="25"/>
  <c r="W132" i="25"/>
  <c r="W133" i="25"/>
  <c r="W134" i="25"/>
  <c r="W135" i="25"/>
  <c r="W136" i="25"/>
  <c r="W137" i="25"/>
  <c r="W138" i="25"/>
  <c r="W139" i="25"/>
  <c r="W140" i="25"/>
  <c r="W141" i="25"/>
  <c r="W108" i="25"/>
  <c r="U109" i="25"/>
  <c r="U110" i="25"/>
  <c r="U111" i="25"/>
  <c r="U112" i="25"/>
  <c r="U113" i="25"/>
  <c r="U114" i="25"/>
  <c r="U115" i="25"/>
  <c r="U116" i="25"/>
  <c r="U117" i="25"/>
  <c r="U118" i="25"/>
  <c r="U119" i="25"/>
  <c r="U120" i="25"/>
  <c r="U121" i="25"/>
  <c r="U122" i="25"/>
  <c r="U123" i="25"/>
  <c r="U124" i="25"/>
  <c r="U125" i="25"/>
  <c r="U126" i="25"/>
  <c r="U127" i="25"/>
  <c r="U128" i="25"/>
  <c r="U129" i="25"/>
  <c r="U130" i="25"/>
  <c r="U131" i="25"/>
  <c r="U132" i="25"/>
  <c r="U133" i="25"/>
  <c r="U135" i="25"/>
  <c r="U136" i="25"/>
  <c r="U137" i="25"/>
  <c r="U138" i="25"/>
  <c r="U139" i="25"/>
  <c r="U140" i="25"/>
  <c r="U141" i="25"/>
  <c r="U108" i="25"/>
  <c r="S142" i="25"/>
  <c r="S109" i="25"/>
  <c r="S110" i="25"/>
  <c r="S111" i="25"/>
  <c r="S112" i="25"/>
  <c r="S113" i="25"/>
  <c r="S114" i="25"/>
  <c r="S115" i="25"/>
  <c r="S116" i="25"/>
  <c r="S117" i="25"/>
  <c r="S118" i="25"/>
  <c r="S119" i="25"/>
  <c r="S120" i="25"/>
  <c r="S121" i="25"/>
  <c r="S122" i="25"/>
  <c r="S123" i="25"/>
  <c r="S124" i="25"/>
  <c r="S125" i="25"/>
  <c r="S126" i="25"/>
  <c r="S127" i="25"/>
  <c r="S128" i="25"/>
  <c r="S129" i="25"/>
  <c r="S130" i="25"/>
  <c r="S131" i="25"/>
  <c r="S132" i="25"/>
  <c r="S133" i="25"/>
  <c r="S134" i="25"/>
  <c r="S135" i="25"/>
  <c r="S136" i="25"/>
  <c r="S137" i="25"/>
  <c r="S138" i="25"/>
  <c r="S139" i="25"/>
  <c r="S141" i="25"/>
  <c r="S108" i="25"/>
  <c r="B142" i="25"/>
  <c r="B106" i="25"/>
  <c r="B107" i="25"/>
  <c r="B108" i="25"/>
  <c r="B109" i="25"/>
  <c r="B110" i="25"/>
  <c r="B111" i="25"/>
  <c r="B112" i="25"/>
  <c r="B113" i="25"/>
  <c r="B114" i="25"/>
  <c r="B115" i="25"/>
  <c r="B116" i="25"/>
  <c r="B117" i="25"/>
  <c r="B118" i="25"/>
  <c r="B119" i="25"/>
  <c r="B120" i="25"/>
  <c r="B121" i="25"/>
  <c r="B122" i="25"/>
  <c r="B123" i="25"/>
  <c r="B124" i="25"/>
  <c r="B125" i="25"/>
  <c r="B126" i="25"/>
  <c r="B127" i="25"/>
  <c r="B128" i="25"/>
  <c r="B129" i="25"/>
  <c r="B130" i="25"/>
  <c r="B131" i="25"/>
  <c r="B132" i="25"/>
  <c r="B133" i="25"/>
  <c r="B134" i="25"/>
  <c r="B135" i="25"/>
  <c r="B136" i="25"/>
  <c r="B137" i="25"/>
  <c r="B138" i="25"/>
  <c r="B139" i="25"/>
  <c r="B140" i="25"/>
  <c r="B141" i="25"/>
  <c r="B105" i="25"/>
  <c r="B98" i="25"/>
  <c r="B99" i="25"/>
  <c r="B100" i="25"/>
  <c r="B101" i="25"/>
  <c r="B102" i="25"/>
  <c r="B103" i="25"/>
  <c r="B104" i="25"/>
  <c r="B94" i="25"/>
  <c r="B95" i="25"/>
  <c r="B96" i="25"/>
  <c r="B97" i="25"/>
  <c r="B93" i="25"/>
  <c r="V142" i="25"/>
  <c r="J142" i="25"/>
  <c r="I142" i="25"/>
  <c r="Q142" i="25" s="1"/>
  <c r="U56" i="5" l="1"/>
  <c r="V56" i="5"/>
  <c r="W56" i="5" s="1"/>
  <c r="X56" i="5" s="1"/>
  <c r="AA56" i="5"/>
  <c r="AB56" i="5" s="1"/>
  <c r="AC56" i="5" s="1"/>
  <c r="AF56" i="5"/>
  <c r="J57" i="5"/>
  <c r="A53" i="33" s="1"/>
  <c r="D53" i="33" s="1"/>
  <c r="K57" i="5"/>
  <c r="L57" i="5" s="1"/>
  <c r="M57" i="5" s="1"/>
  <c r="P57" i="5"/>
  <c r="B53" i="33" s="1"/>
  <c r="F58" i="5"/>
  <c r="G58" i="5" s="1"/>
  <c r="D58" i="5"/>
  <c r="AF55" i="5"/>
  <c r="AG55" i="5"/>
  <c r="AH55" i="5"/>
  <c r="AI55" i="5" s="1"/>
  <c r="Q57" i="5" l="1"/>
  <c r="J97"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C53" i="33" l="1"/>
  <c r="R57" i="5"/>
  <c r="J141" i="25"/>
  <c r="D82" i="2" l="1"/>
  <c r="D58" i="34" l="1"/>
  <c r="C46" i="34"/>
  <c r="C45" i="34"/>
  <c r="C44" i="34"/>
  <c r="J44" i="34" s="1"/>
  <c r="F43" i="34"/>
  <c r="C43" i="34"/>
  <c r="G42" i="34"/>
  <c r="F42" i="34"/>
  <c r="C42" i="34"/>
  <c r="G41" i="34"/>
  <c r="F41" i="34"/>
  <c r="H41" i="34" s="1"/>
  <c r="C41" i="34"/>
  <c r="G40" i="34"/>
  <c r="F40" i="34"/>
  <c r="C40" i="34"/>
  <c r="G39" i="34"/>
  <c r="F39" i="34"/>
  <c r="C39" i="34"/>
  <c r="G38" i="34"/>
  <c r="F38" i="34"/>
  <c r="C38" i="34"/>
  <c r="G37" i="34"/>
  <c r="F37" i="34"/>
  <c r="C37" i="34"/>
  <c r="G36" i="34"/>
  <c r="F36" i="34"/>
  <c r="C36" i="34"/>
  <c r="G35" i="34"/>
  <c r="F35" i="34"/>
  <c r="C35" i="34"/>
  <c r="G34" i="34"/>
  <c r="F34" i="34"/>
  <c r="C34" i="34"/>
  <c r="G33" i="34"/>
  <c r="F33" i="34"/>
  <c r="H33" i="34" s="1"/>
  <c r="C33" i="34"/>
  <c r="G32" i="34"/>
  <c r="F32" i="34"/>
  <c r="C32" i="34"/>
  <c r="G31" i="34"/>
  <c r="F31" i="34"/>
  <c r="C31" i="34"/>
  <c r="G30" i="34"/>
  <c r="F30" i="34"/>
  <c r="C30" i="34"/>
  <c r="G29" i="34"/>
  <c r="F29" i="34"/>
  <c r="C29" i="34"/>
  <c r="G28" i="34"/>
  <c r="F28" i="34"/>
  <c r="C28" i="34"/>
  <c r="G27" i="34"/>
  <c r="F27" i="34"/>
  <c r="C27" i="34"/>
  <c r="G26" i="34"/>
  <c r="F26" i="34"/>
  <c r="C26" i="34"/>
  <c r="G25" i="34"/>
  <c r="F25" i="34"/>
  <c r="H25" i="34" s="1"/>
  <c r="C25" i="34"/>
  <c r="G24" i="34"/>
  <c r="F24" i="34"/>
  <c r="C24" i="34"/>
  <c r="G23" i="34"/>
  <c r="F23" i="34"/>
  <c r="C23" i="34"/>
  <c r="G22" i="34"/>
  <c r="F22" i="34"/>
  <c r="C22" i="34"/>
  <c r="G21" i="34"/>
  <c r="F21" i="34"/>
  <c r="C21" i="34"/>
  <c r="G20" i="34"/>
  <c r="F20" i="34"/>
  <c r="C20" i="34"/>
  <c r="G19" i="34"/>
  <c r="F19" i="34"/>
  <c r="C19" i="34"/>
  <c r="G18" i="34"/>
  <c r="F18" i="34"/>
  <c r="C18" i="34"/>
  <c r="G17" i="34"/>
  <c r="F17" i="34"/>
  <c r="H17" i="34" s="1"/>
  <c r="C17" i="34"/>
  <c r="G16" i="34"/>
  <c r="F16" i="34"/>
  <c r="C16" i="34"/>
  <c r="G15" i="34"/>
  <c r="F15" i="34"/>
  <c r="C15" i="34"/>
  <c r="G14" i="34"/>
  <c r="F14" i="34"/>
  <c r="C14" i="34"/>
  <c r="G13" i="34"/>
  <c r="F13" i="34"/>
  <c r="C13" i="34"/>
  <c r="G12" i="34"/>
  <c r="F12" i="34"/>
  <c r="C12" i="34"/>
  <c r="G11" i="34"/>
  <c r="F11" i="34"/>
  <c r="C11" i="34"/>
  <c r="G10" i="34"/>
  <c r="F10" i="34"/>
  <c r="C10" i="34"/>
  <c r="G9" i="34"/>
  <c r="F9" i="34"/>
  <c r="H9" i="34" s="1"/>
  <c r="C9" i="34"/>
  <c r="G8" i="34"/>
  <c r="F8" i="34"/>
  <c r="C8" i="34"/>
  <c r="A1" i="34"/>
  <c r="H15" i="34" l="1"/>
  <c r="H23" i="34"/>
  <c r="J23" i="34" s="1"/>
  <c r="H31" i="34"/>
  <c r="H39" i="34"/>
  <c r="J39" i="34" s="1"/>
  <c r="J51" i="34" s="1"/>
  <c r="H11" i="34"/>
  <c r="J11" i="34" s="1"/>
  <c r="H19" i="34"/>
  <c r="J19" i="34" s="1"/>
  <c r="H27" i="34"/>
  <c r="H35" i="34"/>
  <c r="J35" i="34" s="1"/>
  <c r="H43" i="34"/>
  <c r="J43" i="34" s="1"/>
  <c r="J27" i="34"/>
  <c r="J17" i="34"/>
  <c r="J25" i="34"/>
  <c r="J41" i="34"/>
  <c r="J15" i="34"/>
  <c r="J31" i="34"/>
  <c r="J9" i="34"/>
  <c r="J33" i="34"/>
  <c r="H13" i="34"/>
  <c r="J13" i="34" s="1"/>
  <c r="H21" i="34"/>
  <c r="J21" i="34" s="1"/>
  <c r="H29" i="34"/>
  <c r="J29" i="34" s="1"/>
  <c r="H37" i="34"/>
  <c r="J37" i="34" s="1"/>
  <c r="H8" i="34"/>
  <c r="J8" i="34" s="1"/>
  <c r="H10" i="34"/>
  <c r="J10" i="34" s="1"/>
  <c r="H12" i="34"/>
  <c r="J12" i="34" s="1"/>
  <c r="H14" i="34"/>
  <c r="J14" i="34" s="1"/>
  <c r="H16" i="34"/>
  <c r="J16" i="34" s="1"/>
  <c r="H18" i="34"/>
  <c r="J18" i="34" s="1"/>
  <c r="H20" i="34"/>
  <c r="J20" i="34" s="1"/>
  <c r="H22" i="34"/>
  <c r="J22" i="34" s="1"/>
  <c r="H24" i="34"/>
  <c r="J24" i="34" s="1"/>
  <c r="H26" i="34"/>
  <c r="J26" i="34" s="1"/>
  <c r="H28" i="34"/>
  <c r="J28" i="34" s="1"/>
  <c r="H30" i="34"/>
  <c r="J30" i="34" s="1"/>
  <c r="H32" i="34"/>
  <c r="J32" i="34" s="1"/>
  <c r="H34" i="34"/>
  <c r="J34" i="34" s="1"/>
  <c r="H36" i="34"/>
  <c r="J36" i="34" s="1"/>
  <c r="H38" i="34"/>
  <c r="J38" i="34" s="1"/>
  <c r="H40" i="34"/>
  <c r="J40" i="34" s="1"/>
  <c r="H42" i="34"/>
  <c r="J42" i="34" s="1"/>
  <c r="J50" i="34" s="1"/>
  <c r="B59" i="34" s="1"/>
  <c r="J53" i="34" l="1"/>
  <c r="J52" i="34"/>
  <c r="D59" i="34"/>
  <c r="C59" i="34"/>
  <c r="B62" i="34"/>
  <c r="B60" i="34"/>
  <c r="D60" i="34" s="1"/>
  <c r="B61" i="34"/>
  <c r="C61" i="34" s="1"/>
  <c r="E61" i="34" s="1"/>
  <c r="D61" i="34"/>
  <c r="D62" i="34" l="1"/>
  <c r="C62" i="34"/>
  <c r="E62" i="34" s="1"/>
  <c r="F59" i="34"/>
  <c r="E59" i="34"/>
  <c r="C60" i="34"/>
  <c r="E60" i="34" s="1"/>
  <c r="F19" i="28" s="1"/>
  <c r="F61" i="34"/>
  <c r="G61" i="34" s="1"/>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46" i="33"/>
  <c r="E47" i="33"/>
  <c r="E48" i="33"/>
  <c r="E49" i="33"/>
  <c r="E50" i="33"/>
  <c r="E51" i="33"/>
  <c r="E4" i="33"/>
  <c r="F62" i="34" l="1"/>
  <c r="G62" i="34" s="1"/>
  <c r="F60" i="34"/>
  <c r="F20" i="28" s="1"/>
  <c r="G59" i="34"/>
  <c r="J39" i="3"/>
  <c r="K39" i="3" l="1"/>
  <c r="D138" i="3"/>
  <c r="E138" i="3" s="1"/>
  <c r="F138" i="3" s="1"/>
  <c r="G138" i="3" s="1"/>
  <c r="G60" i="34"/>
  <c r="G45" i="2" s="1"/>
  <c r="L39" i="3"/>
  <c r="AI40" i="12" l="1"/>
  <c r="M19" i="2" s="1"/>
  <c r="G60" i="30"/>
  <c r="H60" i="30"/>
  <c r="I60" i="30"/>
  <c r="J60" i="30"/>
  <c r="K60" i="30"/>
  <c r="L60" i="30"/>
  <c r="M60" i="30"/>
  <c r="N60" i="30"/>
  <c r="O60" i="30"/>
  <c r="P60" i="30"/>
  <c r="F60" i="30"/>
  <c r="B60" i="30"/>
  <c r="C60" i="30"/>
  <c r="D60" i="30"/>
  <c r="E60" i="30"/>
  <c r="P52" i="31"/>
  <c r="V141" i="25"/>
  <c r="Q60" i="30" l="1"/>
  <c r="I141" i="25"/>
  <c r="Q141" i="25" s="1"/>
  <c r="G35" i="2" l="1"/>
  <c r="D39" i="3"/>
  <c r="D94" i="3" s="1"/>
  <c r="E94" i="3" s="1"/>
  <c r="F94" i="3" s="1"/>
  <c r="G94" i="3" s="1"/>
  <c r="F39" i="3" l="1"/>
  <c r="G39" i="3"/>
  <c r="H39" i="3"/>
  <c r="N63" i="18"/>
  <c r="AF54" i="5" l="1"/>
  <c r="AG54" i="5"/>
  <c r="U55" i="5"/>
  <c r="V55" i="5"/>
  <c r="AA55" i="5"/>
  <c r="J56" i="5"/>
  <c r="A52" i="33" s="1"/>
  <c r="D52" i="33" s="1"/>
  <c r="K56" i="5"/>
  <c r="L56" i="5" s="1"/>
  <c r="P56" i="5"/>
  <c r="D57" i="5"/>
  <c r="E57" i="5"/>
  <c r="F57" i="5" s="1"/>
  <c r="G57" i="5" s="1"/>
  <c r="W55" i="5" l="1"/>
  <c r="D59" i="12"/>
  <c r="D59" i="24"/>
  <c r="M56" i="5"/>
  <c r="D60" i="18"/>
  <c r="D55" i="19"/>
  <c r="AB55" i="5"/>
  <c r="AH54" i="5"/>
  <c r="Q56" i="5"/>
  <c r="B52" i="33"/>
  <c r="P57" i="17"/>
  <c r="U57" i="17" s="1"/>
  <c r="B57" i="17"/>
  <c r="AI57" i="16"/>
  <c r="P57" i="16"/>
  <c r="U57" i="16" s="1"/>
  <c r="AI58" i="15"/>
  <c r="P58" i="15"/>
  <c r="U58" i="15" s="1"/>
  <c r="P58" i="14"/>
  <c r="U58" i="14" s="1"/>
  <c r="U58" i="12"/>
  <c r="P58" i="12"/>
  <c r="P58" i="13"/>
  <c r="U58" i="13" s="1"/>
  <c r="P58" i="11"/>
  <c r="U58" i="11" s="1"/>
  <c r="P58" i="10"/>
  <c r="P58" i="24"/>
  <c r="P56" i="9"/>
  <c r="U56" i="9" s="1"/>
  <c r="AI59" i="8"/>
  <c r="P59" i="8"/>
  <c r="P54" i="19"/>
  <c r="U54" i="19" s="1"/>
  <c r="C54" i="19"/>
  <c r="AA54" i="19" s="1"/>
  <c r="P59" i="18"/>
  <c r="C59" i="18"/>
  <c r="Z59" i="18" s="1"/>
  <c r="X60" i="18" l="1"/>
  <c r="Y60" i="18" s="1"/>
  <c r="N60" i="18"/>
  <c r="O60" i="18" s="1"/>
  <c r="S60" i="18"/>
  <c r="T60" i="18" s="1"/>
  <c r="AB60" i="18"/>
  <c r="N55" i="19"/>
  <c r="O55" i="19" s="1"/>
  <c r="S55" i="19"/>
  <c r="T55" i="19" s="1"/>
  <c r="AB55" i="19"/>
  <c r="X55" i="19"/>
  <c r="Y55" i="19" s="1"/>
  <c r="W59" i="24"/>
  <c r="S59" i="24"/>
  <c r="T59" i="24" s="1"/>
  <c r="N59" i="24"/>
  <c r="O59" i="24" s="1"/>
  <c r="AI54" i="5"/>
  <c r="D58" i="17"/>
  <c r="D58" i="16"/>
  <c r="X59" i="12"/>
  <c r="S59" i="12"/>
  <c r="T59" i="12" s="1"/>
  <c r="N59" i="12"/>
  <c r="O59" i="12" s="1"/>
  <c r="AC55" i="5"/>
  <c r="D59" i="14"/>
  <c r="D59" i="15"/>
  <c r="C52" i="33"/>
  <c r="D57" i="9"/>
  <c r="X55" i="5"/>
  <c r="D59" i="11"/>
  <c r="D59" i="13"/>
  <c r="R56" i="5"/>
  <c r="Z54" i="19"/>
  <c r="U59" i="18"/>
  <c r="AA59" i="18"/>
  <c r="AB58" i="17" l="1"/>
  <c r="S58" i="17"/>
  <c r="T58" i="17" s="1"/>
  <c r="X58" i="17"/>
  <c r="Y58" i="17" s="1"/>
  <c r="N58" i="17"/>
  <c r="O58" i="17" s="1"/>
  <c r="AB59" i="11"/>
  <c r="N59" i="11"/>
  <c r="O59" i="11" s="1"/>
  <c r="X59" i="11"/>
  <c r="Y59" i="11" s="1"/>
  <c r="S59" i="11"/>
  <c r="T59" i="11" s="1"/>
  <c r="N57" i="9"/>
  <c r="O57" i="9" s="1"/>
  <c r="AB57" i="9"/>
  <c r="X57" i="9"/>
  <c r="Y57" i="9" s="1"/>
  <c r="N59" i="14"/>
  <c r="O59" i="14" s="1"/>
  <c r="X59" i="14"/>
  <c r="Y59" i="14" s="1"/>
  <c r="S59" i="14"/>
  <c r="T59" i="14" s="1"/>
  <c r="AB59" i="14"/>
  <c r="N58" i="16"/>
  <c r="O58" i="16" s="1"/>
  <c r="AB58" i="16"/>
  <c r="X58" i="16"/>
  <c r="Y58" i="16" s="1"/>
  <c r="S58" i="16"/>
  <c r="T58" i="16" s="1"/>
  <c r="N59" i="15"/>
  <c r="O59" i="15" s="1"/>
  <c r="AB59" i="15"/>
  <c r="S59" i="15"/>
  <c r="T59" i="15" s="1"/>
  <c r="X59" i="15"/>
  <c r="Y59" i="15" s="1"/>
  <c r="N59" i="13"/>
  <c r="O59" i="13" s="1"/>
  <c r="X59" i="13"/>
  <c r="Y59" i="13" s="1"/>
  <c r="S59" i="13"/>
  <c r="T59" i="13" s="1"/>
  <c r="AB59" i="13"/>
  <c r="A6" i="29"/>
  <c r="H86" i="11" l="1"/>
  <c r="G76" i="11"/>
  <c r="H76" i="11" s="1"/>
  <c r="G77" i="11"/>
  <c r="G78" i="11"/>
  <c r="G79" i="11"/>
  <c r="G80" i="11"/>
  <c r="G81" i="11"/>
  <c r="G82" i="11"/>
  <c r="G83" i="11"/>
  <c r="G84" i="11"/>
  <c r="H84" i="11" s="1"/>
  <c r="G85" i="11"/>
  <c r="G86" i="11"/>
  <c r="G87" i="11"/>
  <c r="G88" i="11"/>
  <c r="G89" i="11"/>
  <c r="G90" i="11"/>
  <c r="H90" i="11" s="1"/>
  <c r="G91" i="11"/>
  <c r="H91" i="11" s="1"/>
  <c r="G75" i="11"/>
  <c r="H75" i="11" s="1"/>
  <c r="J140" i="25"/>
  <c r="H93" i="11" l="1"/>
  <c r="C29" i="32"/>
  <c r="E29" i="32" s="1"/>
  <c r="C30" i="32"/>
  <c r="E30" i="32" s="1"/>
  <c r="C31" i="32"/>
  <c r="E31" i="32" s="1"/>
  <c r="C32" i="32"/>
  <c r="E32" i="32" s="1"/>
  <c r="C33" i="32"/>
  <c r="E33" i="32" s="1"/>
  <c r="C34" i="32"/>
  <c r="E34" i="32" s="1"/>
  <c r="C35" i="32"/>
  <c r="E35" i="32" s="1"/>
  <c r="C36" i="32"/>
  <c r="E36" i="32" s="1"/>
  <c r="C37" i="32"/>
  <c r="E37" i="32" s="1"/>
  <c r="C38" i="32"/>
  <c r="E38" i="32" s="1"/>
  <c r="C39" i="32"/>
  <c r="E39" i="32" s="1"/>
  <c r="C40" i="32"/>
  <c r="E40" i="32" s="1"/>
  <c r="C41" i="32"/>
  <c r="E41" i="32" s="1"/>
  <c r="C42" i="32"/>
  <c r="E42" i="32" s="1"/>
  <c r="C43" i="32"/>
  <c r="E43" i="32" s="1"/>
  <c r="C44" i="32"/>
  <c r="E44" i="32" s="1"/>
  <c r="C45" i="32"/>
  <c r="E45" i="32" s="1"/>
  <c r="C46" i="32"/>
  <c r="E46" i="32" s="1"/>
  <c r="C47" i="32"/>
  <c r="E47" i="32" s="1"/>
  <c r="C48" i="32"/>
  <c r="E48" i="32" s="1"/>
  <c r="C49" i="32"/>
  <c r="E49" i="32" s="1"/>
  <c r="C50" i="32"/>
  <c r="E50" i="32" s="1"/>
  <c r="C51" i="32"/>
  <c r="E51" i="32" s="1"/>
  <c r="C52" i="32"/>
  <c r="E52" i="32" s="1"/>
  <c r="C7" i="32"/>
  <c r="C8" i="32"/>
  <c r="C9" i="32"/>
  <c r="C10" i="32"/>
  <c r="C11" i="32"/>
  <c r="C12" i="32"/>
  <c r="C13" i="32"/>
  <c r="C14" i="32"/>
  <c r="C15" i="32"/>
  <c r="C16" i="32"/>
  <c r="C17" i="32"/>
  <c r="C18" i="32"/>
  <c r="C19" i="32"/>
  <c r="C20" i="32"/>
  <c r="C21" i="32"/>
  <c r="C22" i="32"/>
  <c r="C23" i="32"/>
  <c r="C24" i="32"/>
  <c r="C25" i="32"/>
  <c r="C26" i="32"/>
  <c r="C27" i="32"/>
  <c r="C28" i="32"/>
  <c r="C6" i="32"/>
  <c r="B50" i="32"/>
  <c r="D50" i="32" s="1"/>
  <c r="B51" i="32"/>
  <c r="D51" i="32" s="1"/>
  <c r="B52" i="32"/>
  <c r="D52" i="32" s="1"/>
  <c r="B7" i="32"/>
  <c r="B8" i="32"/>
  <c r="B9" i="32"/>
  <c r="B10" i="32"/>
  <c r="B11" i="32"/>
  <c r="B12" i="32"/>
  <c r="B13" i="32"/>
  <c r="B14" i="32"/>
  <c r="B15" i="32"/>
  <c r="B16" i="32"/>
  <c r="B17" i="32"/>
  <c r="B18" i="32"/>
  <c r="B19" i="32"/>
  <c r="B20" i="32"/>
  <c r="B21" i="32"/>
  <c r="B22" i="32"/>
  <c r="B23" i="32"/>
  <c r="B24" i="32"/>
  <c r="B25" i="32"/>
  <c r="B26" i="32"/>
  <c r="B27" i="32"/>
  <c r="B28" i="32"/>
  <c r="B29" i="32"/>
  <c r="D29" i="32" s="1"/>
  <c r="B30" i="32"/>
  <c r="D30" i="32" s="1"/>
  <c r="B31" i="32"/>
  <c r="D31" i="32" s="1"/>
  <c r="B32" i="32"/>
  <c r="D32" i="32" s="1"/>
  <c r="B33" i="32"/>
  <c r="D33" i="32" s="1"/>
  <c r="B34" i="32"/>
  <c r="D34" i="32" s="1"/>
  <c r="B35" i="32"/>
  <c r="D35" i="32" s="1"/>
  <c r="B36" i="32"/>
  <c r="D36" i="32" s="1"/>
  <c r="B37" i="32"/>
  <c r="D37" i="32" s="1"/>
  <c r="B38" i="32"/>
  <c r="D38" i="32" s="1"/>
  <c r="B39" i="32"/>
  <c r="D39" i="32" s="1"/>
  <c r="B40" i="32"/>
  <c r="D40" i="32" s="1"/>
  <c r="B41" i="32"/>
  <c r="D41" i="32" s="1"/>
  <c r="B42" i="32"/>
  <c r="D42" i="32" s="1"/>
  <c r="B43" i="32"/>
  <c r="D43" i="32" s="1"/>
  <c r="B44" i="32"/>
  <c r="D44" i="32" s="1"/>
  <c r="B45" i="32"/>
  <c r="D45" i="32" s="1"/>
  <c r="B46" i="32"/>
  <c r="D46" i="32" s="1"/>
  <c r="B47" i="32"/>
  <c r="D47" i="32" s="1"/>
  <c r="B48" i="32"/>
  <c r="D48" i="32" s="1"/>
  <c r="B49" i="32"/>
  <c r="D49" i="32" s="1"/>
  <c r="B6" i="32"/>
  <c r="D6" i="32" s="1"/>
  <c r="P47" i="32" l="1"/>
  <c r="R47" i="32"/>
  <c r="P48" i="32"/>
  <c r="T48" i="32" s="1"/>
  <c r="U48" i="32" s="1"/>
  <c r="R48" i="32"/>
  <c r="P49" i="32"/>
  <c r="R49" i="32"/>
  <c r="P50" i="32"/>
  <c r="T50" i="32" s="1"/>
  <c r="U50" i="32" s="1"/>
  <c r="R50" i="32"/>
  <c r="P5" i="32"/>
  <c r="P6" i="32"/>
  <c r="P7" i="32"/>
  <c r="P8" i="32"/>
  <c r="P9" i="32"/>
  <c r="P10" i="32"/>
  <c r="P11" i="32"/>
  <c r="P12" i="32"/>
  <c r="P13" i="32"/>
  <c r="P14" i="32"/>
  <c r="P15" i="32"/>
  <c r="P16" i="32"/>
  <c r="P17" i="32"/>
  <c r="P18" i="32"/>
  <c r="P19" i="32"/>
  <c r="P20" i="32"/>
  <c r="P21" i="32"/>
  <c r="P22" i="32"/>
  <c r="P23" i="32"/>
  <c r="P24" i="32"/>
  <c r="P25" i="32"/>
  <c r="P26" i="32"/>
  <c r="P27" i="32"/>
  <c r="P28" i="32"/>
  <c r="P29" i="32"/>
  <c r="P30" i="32"/>
  <c r="P31" i="32"/>
  <c r="P32" i="32"/>
  <c r="P33" i="32"/>
  <c r="P34" i="32"/>
  <c r="P35" i="32"/>
  <c r="P36" i="32"/>
  <c r="P37" i="32"/>
  <c r="P38" i="32"/>
  <c r="P39" i="32"/>
  <c r="P40" i="32"/>
  <c r="P41" i="32"/>
  <c r="P42" i="32"/>
  <c r="P43" i="32"/>
  <c r="P44" i="32"/>
  <c r="P45" i="32"/>
  <c r="P46" i="32"/>
  <c r="P4" i="32"/>
  <c r="R46" i="32"/>
  <c r="R45" i="32"/>
  <c r="R44" i="32"/>
  <c r="R43" i="32"/>
  <c r="R42" i="32"/>
  <c r="R41" i="32"/>
  <c r="R40" i="32"/>
  <c r="R39" i="32"/>
  <c r="R38" i="32"/>
  <c r="R37" i="32"/>
  <c r="R36" i="32"/>
  <c r="R35" i="32"/>
  <c r="R34" i="32"/>
  <c r="R33" i="32"/>
  <c r="R32" i="32"/>
  <c r="R31" i="32"/>
  <c r="R30" i="32"/>
  <c r="R29" i="32"/>
  <c r="R28" i="32"/>
  <c r="E28" i="32"/>
  <c r="D28" i="32"/>
  <c r="R27" i="32"/>
  <c r="E27" i="32"/>
  <c r="D27" i="32"/>
  <c r="R26" i="32"/>
  <c r="E26" i="32"/>
  <c r="D26" i="32"/>
  <c r="R25" i="32"/>
  <c r="E25" i="32"/>
  <c r="D25" i="32"/>
  <c r="R24" i="32"/>
  <c r="E24" i="32"/>
  <c r="D24" i="32"/>
  <c r="R23" i="32"/>
  <c r="E23" i="32"/>
  <c r="D23" i="32"/>
  <c r="R22" i="32"/>
  <c r="E22" i="32"/>
  <c r="D22" i="32"/>
  <c r="R21" i="32"/>
  <c r="E21" i="32"/>
  <c r="D21" i="32"/>
  <c r="R20" i="32"/>
  <c r="E20" i="32"/>
  <c r="D20" i="32"/>
  <c r="R19" i="32"/>
  <c r="E19" i="32"/>
  <c r="D19" i="32"/>
  <c r="R18" i="32"/>
  <c r="E18" i="32"/>
  <c r="D18" i="32"/>
  <c r="R17" i="32"/>
  <c r="E17" i="32"/>
  <c r="D17" i="32"/>
  <c r="R16" i="32"/>
  <c r="E16" i="32"/>
  <c r="D16" i="32"/>
  <c r="R15" i="32"/>
  <c r="E15" i="32"/>
  <c r="D15" i="32"/>
  <c r="R14" i="32"/>
  <c r="E14" i="32"/>
  <c r="D14" i="32"/>
  <c r="R13" i="32"/>
  <c r="E13" i="32"/>
  <c r="D13" i="32"/>
  <c r="R12" i="32"/>
  <c r="E12" i="32"/>
  <c r="D12" i="32"/>
  <c r="R11" i="32"/>
  <c r="E11" i="32"/>
  <c r="D11" i="32"/>
  <c r="R10" i="32"/>
  <c r="E10" i="32"/>
  <c r="D10" i="32"/>
  <c r="R9" i="32"/>
  <c r="E9" i="32"/>
  <c r="D9" i="32"/>
  <c r="R8" i="32"/>
  <c r="E8" i="32"/>
  <c r="D8" i="32"/>
  <c r="R7" i="32"/>
  <c r="E7" i="32"/>
  <c r="D7" i="32"/>
  <c r="R6" i="32"/>
  <c r="E6" i="32"/>
  <c r="R5" i="32"/>
  <c r="R4" i="32"/>
  <c r="W3" i="32"/>
  <c r="A1" i="32"/>
  <c r="C27" i="31"/>
  <c r="E27" i="31" s="1"/>
  <c r="C28" i="31"/>
  <c r="E28" i="31" s="1"/>
  <c r="Q4" i="32" l="1"/>
  <c r="Q46" i="32"/>
  <c r="Q44" i="32"/>
  <c r="Q42" i="32"/>
  <c r="Q40" i="32"/>
  <c r="Q38" i="32"/>
  <c r="Q36" i="32"/>
  <c r="Q34" i="32"/>
  <c r="Q32" i="32"/>
  <c r="Q30" i="32"/>
  <c r="Q28" i="32"/>
  <c r="Q26" i="32"/>
  <c r="Q24" i="32"/>
  <c r="Q22" i="32"/>
  <c r="Q20" i="32"/>
  <c r="Q18" i="32"/>
  <c r="Q16" i="32"/>
  <c r="Q14" i="32"/>
  <c r="Q12" i="32"/>
  <c r="Q10" i="32"/>
  <c r="Q8" i="32"/>
  <c r="Q6" i="32"/>
  <c r="Q49" i="32"/>
  <c r="Q50" i="32"/>
  <c r="T46" i="32"/>
  <c r="U46" i="32" s="1"/>
  <c r="T44" i="32"/>
  <c r="U44" i="32" s="1"/>
  <c r="T42" i="32"/>
  <c r="U42" i="32" s="1"/>
  <c r="T40" i="32"/>
  <c r="U40" i="32" s="1"/>
  <c r="T38" i="32"/>
  <c r="U38" i="32" s="1"/>
  <c r="T36" i="32"/>
  <c r="U36" i="32" s="1"/>
  <c r="T34" i="32"/>
  <c r="U34" i="32" s="1"/>
  <c r="T32" i="32"/>
  <c r="U32" i="32" s="1"/>
  <c r="T30" i="32"/>
  <c r="U30" i="32" s="1"/>
  <c r="T28" i="32"/>
  <c r="U28" i="32" s="1"/>
  <c r="T26" i="32"/>
  <c r="U26" i="32" s="1"/>
  <c r="T24" i="32"/>
  <c r="U24" i="32" s="1"/>
  <c r="T22" i="32"/>
  <c r="U22" i="32" s="1"/>
  <c r="T20" i="32"/>
  <c r="U20" i="32" s="1"/>
  <c r="T18" i="32"/>
  <c r="U18" i="32" s="1"/>
  <c r="T16" i="32"/>
  <c r="U16" i="32" s="1"/>
  <c r="T14" i="32"/>
  <c r="U14" i="32" s="1"/>
  <c r="T12" i="32"/>
  <c r="U12" i="32" s="1"/>
  <c r="T10" i="32"/>
  <c r="U10" i="32" s="1"/>
  <c r="T8" i="32"/>
  <c r="U8" i="32" s="1"/>
  <c r="T6" i="32"/>
  <c r="U6" i="32" s="1"/>
  <c r="Q45" i="32"/>
  <c r="Q43" i="32"/>
  <c r="Q41" i="32"/>
  <c r="Q39" i="32"/>
  <c r="Q37" i="32"/>
  <c r="Q35" i="32"/>
  <c r="Q33" i="32"/>
  <c r="Q31" i="32"/>
  <c r="Q29" i="32"/>
  <c r="Q27" i="32"/>
  <c r="Q25" i="32"/>
  <c r="Q23" i="32"/>
  <c r="Q21" i="32"/>
  <c r="Q19" i="32"/>
  <c r="Q17" i="32"/>
  <c r="Q15" i="32"/>
  <c r="Q13" i="32"/>
  <c r="Q11" i="32"/>
  <c r="Q9" i="32"/>
  <c r="Q7" i="32"/>
  <c r="Q5" i="32"/>
  <c r="Q48" i="32"/>
  <c r="Q47" i="32"/>
  <c r="T4" i="32"/>
  <c r="U4" i="32" s="1"/>
  <c r="T49" i="32"/>
  <c r="U49" i="32" s="1"/>
  <c r="T47" i="32"/>
  <c r="U47" i="32" s="1"/>
  <c r="T45" i="32"/>
  <c r="U45" i="32" s="1"/>
  <c r="T43" i="32"/>
  <c r="U43" i="32" s="1"/>
  <c r="T41" i="32"/>
  <c r="U41" i="32" s="1"/>
  <c r="T39" i="32"/>
  <c r="U39" i="32" s="1"/>
  <c r="T37" i="32"/>
  <c r="U37" i="32" s="1"/>
  <c r="T35" i="32"/>
  <c r="U35" i="32" s="1"/>
  <c r="T33" i="32"/>
  <c r="U33" i="32" s="1"/>
  <c r="T31" i="32"/>
  <c r="U31" i="32" s="1"/>
  <c r="T29" i="32"/>
  <c r="U29" i="32" s="1"/>
  <c r="T27" i="32"/>
  <c r="U27" i="32" s="1"/>
  <c r="T25" i="32"/>
  <c r="U25" i="32" s="1"/>
  <c r="T23" i="32"/>
  <c r="U23" i="32" s="1"/>
  <c r="T21" i="32"/>
  <c r="U21" i="32" s="1"/>
  <c r="T19" i="32"/>
  <c r="U19" i="32" s="1"/>
  <c r="T17" i="32"/>
  <c r="U17" i="32" s="1"/>
  <c r="T15" i="32"/>
  <c r="U15" i="32" s="1"/>
  <c r="T13" i="32"/>
  <c r="U13" i="32" s="1"/>
  <c r="T11" i="32"/>
  <c r="T9" i="32"/>
  <c r="U9" i="32" s="1"/>
  <c r="T7" i="32"/>
  <c r="U7" i="32" s="1"/>
  <c r="T5" i="32"/>
  <c r="U5" i="32" s="1"/>
  <c r="U11" i="32"/>
  <c r="F65" i="18" l="1"/>
  <c r="Q65" i="18" s="1"/>
  <c r="P56" i="17" l="1"/>
  <c r="B56" i="17"/>
  <c r="AI56" i="16"/>
  <c r="P56" i="16"/>
  <c r="U56" i="16" s="1"/>
  <c r="AI57" i="15"/>
  <c r="P57" i="15"/>
  <c r="U57" i="15" s="1"/>
  <c r="P57" i="14"/>
  <c r="U57" i="12"/>
  <c r="P57" i="12"/>
  <c r="P57" i="13"/>
  <c r="P57" i="11"/>
  <c r="P57" i="10"/>
  <c r="P57" i="24"/>
  <c r="P55" i="9"/>
  <c r="P58" i="8"/>
  <c r="P53" i="19"/>
  <c r="U53" i="19" s="1"/>
  <c r="C53" i="19"/>
  <c r="AA53" i="19" s="1"/>
  <c r="P58" i="18"/>
  <c r="C58" i="18"/>
  <c r="Z58" i="18" s="1"/>
  <c r="AF53" i="5"/>
  <c r="AG53" i="5"/>
  <c r="AH53" i="5" s="1"/>
  <c r="U54" i="5"/>
  <c r="V54" i="5"/>
  <c r="AA54" i="5"/>
  <c r="J55" i="5"/>
  <c r="A51" i="33" s="1"/>
  <c r="D51" i="33" s="1"/>
  <c r="K55" i="5"/>
  <c r="L55" i="5"/>
  <c r="C59" i="13" s="1"/>
  <c r="P55" i="5"/>
  <c r="C59" i="12" s="1"/>
  <c r="D56" i="5"/>
  <c r="E56" i="5"/>
  <c r="R48" i="31"/>
  <c r="R49" i="31"/>
  <c r="R50" i="31"/>
  <c r="R51" i="31"/>
  <c r="P51" i="31"/>
  <c r="T51" i="31" s="1"/>
  <c r="U51" i="31" s="1"/>
  <c r="B59" i="30"/>
  <c r="C59" i="30"/>
  <c r="D59" i="30"/>
  <c r="E59" i="30"/>
  <c r="G17" i="29" s="1"/>
  <c r="F59" i="30"/>
  <c r="G59" i="30"/>
  <c r="H59" i="30"/>
  <c r="I59" i="30"/>
  <c r="I17" i="29" s="1"/>
  <c r="J59" i="30"/>
  <c r="J17" i="29" s="1"/>
  <c r="K59" i="30"/>
  <c r="L59" i="30"/>
  <c r="K17" i="29" s="1"/>
  <c r="M59" i="30"/>
  <c r="N59" i="30"/>
  <c r="O59" i="30"/>
  <c r="P59" i="30"/>
  <c r="C137" i="3"/>
  <c r="C93" i="3"/>
  <c r="W59" i="12" l="1"/>
  <c r="V59" i="12"/>
  <c r="AA59" i="13"/>
  <c r="Z59" i="13"/>
  <c r="F56" i="5"/>
  <c r="AN56" i="5"/>
  <c r="Q55" i="5"/>
  <c r="B51" i="33"/>
  <c r="AB54" i="5"/>
  <c r="Q59" i="30"/>
  <c r="M55" i="5"/>
  <c r="D54" i="19"/>
  <c r="D59" i="18"/>
  <c r="W54" i="5"/>
  <c r="C58" i="17" s="1"/>
  <c r="D58" i="12"/>
  <c r="D58" i="24"/>
  <c r="AI53" i="5"/>
  <c r="D57" i="17"/>
  <c r="D57" i="16"/>
  <c r="U56" i="17"/>
  <c r="U57" i="14"/>
  <c r="U57" i="13"/>
  <c r="U57" i="11"/>
  <c r="U55" i="9"/>
  <c r="Z53" i="19"/>
  <c r="U58" i="18"/>
  <c r="AA58" i="18"/>
  <c r="AA58" i="17" l="1"/>
  <c r="Z58" i="17"/>
  <c r="G56" i="5"/>
  <c r="C57" i="9"/>
  <c r="C51" i="33"/>
  <c r="C59" i="11"/>
  <c r="C59" i="15"/>
  <c r="D58" i="15"/>
  <c r="X58" i="15" s="1"/>
  <c r="Y58" i="15" s="1"/>
  <c r="C58" i="16"/>
  <c r="D56" i="9"/>
  <c r="AB56" i="9" s="1"/>
  <c r="AO56" i="5"/>
  <c r="AP56" i="5" s="1"/>
  <c r="R55" i="5"/>
  <c r="AC54" i="5"/>
  <c r="D58" i="14"/>
  <c r="S58" i="14" s="1"/>
  <c r="T58" i="14" s="1"/>
  <c r="S57" i="16"/>
  <c r="T57" i="16" s="1"/>
  <c r="N57" i="16"/>
  <c r="O57" i="16" s="1"/>
  <c r="X57" i="16"/>
  <c r="Y57" i="16" s="1"/>
  <c r="AB57" i="16"/>
  <c r="N58" i="12"/>
  <c r="O58" i="12" s="1"/>
  <c r="X58" i="12"/>
  <c r="S58" i="12"/>
  <c r="T58" i="12" s="1"/>
  <c r="AB59" i="18"/>
  <c r="N59" i="18"/>
  <c r="O59" i="18" s="1"/>
  <c r="X59" i="18"/>
  <c r="Y59" i="18" s="1"/>
  <c r="S59" i="18"/>
  <c r="T59" i="18" s="1"/>
  <c r="AB57" i="17"/>
  <c r="X57" i="17"/>
  <c r="Y57" i="17" s="1"/>
  <c r="S57" i="17"/>
  <c r="T57" i="17" s="1"/>
  <c r="N57" i="17"/>
  <c r="O57" i="17" s="1"/>
  <c r="W58" i="24"/>
  <c r="S58" i="24"/>
  <c r="T58" i="24" s="1"/>
  <c r="N58" i="24"/>
  <c r="O58" i="24" s="1"/>
  <c r="X54" i="5"/>
  <c r="D58" i="11"/>
  <c r="D58" i="13"/>
  <c r="S54" i="19"/>
  <c r="T54" i="19" s="1"/>
  <c r="N54" i="19"/>
  <c r="O54" i="19" s="1"/>
  <c r="AB54" i="19"/>
  <c r="X54" i="19"/>
  <c r="Y54" i="19" s="1"/>
  <c r="J38" i="3"/>
  <c r="D137" i="3" s="1"/>
  <c r="E137" i="3" s="1"/>
  <c r="F137" i="3" s="1"/>
  <c r="G137" i="3" s="1"/>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9" i="3"/>
  <c r="D38" i="3"/>
  <c r="C20" i="3"/>
  <c r="C56" i="3" s="1"/>
  <c r="J56" i="3" l="1"/>
  <c r="K56" i="3" s="1"/>
  <c r="J54" i="3"/>
  <c r="K54" i="3" s="1"/>
  <c r="J53" i="3"/>
  <c r="K53" i="3" s="1"/>
  <c r="J55" i="3"/>
  <c r="K55" i="3" s="1"/>
  <c r="AB58" i="15"/>
  <c r="AA59" i="15"/>
  <c r="Z59" i="15"/>
  <c r="AA57" i="9"/>
  <c r="Z57" i="9"/>
  <c r="S57" i="9"/>
  <c r="T57" i="9" s="1"/>
  <c r="N58" i="15"/>
  <c r="O58" i="15" s="1"/>
  <c r="AA59" i="11"/>
  <c r="Z59" i="11"/>
  <c r="S58" i="15"/>
  <c r="T58" i="15" s="1"/>
  <c r="AA58" i="16"/>
  <c r="Z58" i="16"/>
  <c r="AB58" i="14"/>
  <c r="X58" i="14"/>
  <c r="Y58" i="14" s="1"/>
  <c r="N56" i="9"/>
  <c r="O56" i="9" s="1"/>
  <c r="X56" i="9"/>
  <c r="Y56" i="9" s="1"/>
  <c r="N58" i="14"/>
  <c r="O58" i="14" s="1"/>
  <c r="AB58" i="11"/>
  <c r="X58" i="11"/>
  <c r="Y58" i="11" s="1"/>
  <c r="S58" i="11"/>
  <c r="T58" i="11" s="1"/>
  <c r="N58" i="11"/>
  <c r="O58" i="11" s="1"/>
  <c r="AB58" i="13"/>
  <c r="X58" i="13"/>
  <c r="Y58" i="13" s="1"/>
  <c r="S58" i="13"/>
  <c r="T58" i="13" s="1"/>
  <c r="N58" i="13"/>
  <c r="O58" i="13" s="1"/>
  <c r="D93" i="3"/>
  <c r="E93" i="3" s="1"/>
  <c r="F93" i="3" s="1"/>
  <c r="G93" i="3" s="1"/>
  <c r="F38" i="3"/>
  <c r="H38" i="3"/>
  <c r="K38" i="3"/>
  <c r="L38" i="3"/>
  <c r="G38" i="3"/>
  <c r="I143" i="25"/>
  <c r="V140" i="25" l="1"/>
  <c r="Q143" i="25"/>
  <c r="P50" i="31" l="1"/>
  <c r="A19" i="29"/>
  <c r="E11" i="29"/>
  <c r="O7" i="2"/>
  <c r="P56" i="12"/>
  <c r="P62" i="12"/>
  <c r="P55" i="17"/>
  <c r="U55" i="17" s="1"/>
  <c r="B55" i="17"/>
  <c r="AI55" i="16"/>
  <c r="P55" i="16"/>
  <c r="U55" i="16" s="1"/>
  <c r="AI56" i="15"/>
  <c r="P56" i="15"/>
  <c r="U56" i="15" s="1"/>
  <c r="P56" i="14"/>
  <c r="U56" i="14" s="1"/>
  <c r="U56" i="12"/>
  <c r="P56" i="13"/>
  <c r="U56" i="13" s="1"/>
  <c r="P56" i="11"/>
  <c r="U56" i="11" s="1"/>
  <c r="P56" i="10"/>
  <c r="P56" i="24"/>
  <c r="P54" i="9"/>
  <c r="U54" i="9" s="1"/>
  <c r="P57" i="8"/>
  <c r="P52" i="19"/>
  <c r="U52" i="19" s="1"/>
  <c r="C52" i="19"/>
  <c r="Z52" i="19" s="1"/>
  <c r="P57" i="18"/>
  <c r="U57" i="18" s="1"/>
  <c r="C57" i="18"/>
  <c r="AA57" i="18" s="1"/>
  <c r="H71" i="2"/>
  <c r="T50" i="31" l="1"/>
  <c r="U50" i="31" s="1"/>
  <c r="AA52" i="19"/>
  <c r="Z57" i="18"/>
  <c r="I71" i="2"/>
  <c r="P53" i="9"/>
  <c r="U53" i="9" s="1"/>
  <c r="P54" i="17"/>
  <c r="U54" i="17" s="1"/>
  <c r="B54" i="17"/>
  <c r="AI54" i="16"/>
  <c r="P54" i="16"/>
  <c r="U54" i="16" s="1"/>
  <c r="AI55" i="15"/>
  <c r="P55" i="15"/>
  <c r="U55" i="15" s="1"/>
  <c r="P55" i="14"/>
  <c r="U55" i="14" s="1"/>
  <c r="U55" i="12"/>
  <c r="P55" i="12"/>
  <c r="P55" i="13"/>
  <c r="U55" i="13" s="1"/>
  <c r="P55" i="11"/>
  <c r="U55" i="11" s="1"/>
  <c r="P55" i="10"/>
  <c r="P55" i="24"/>
  <c r="P56" i="8"/>
  <c r="P51" i="19"/>
  <c r="U51" i="19" s="1"/>
  <c r="C51" i="19"/>
  <c r="Z51" i="19" s="1"/>
  <c r="P56" i="18"/>
  <c r="U56" i="18" s="1"/>
  <c r="C56" i="18"/>
  <c r="AA56" i="18" s="1"/>
  <c r="B57" i="5"/>
  <c r="B58" i="5"/>
  <c r="AF52" i="5"/>
  <c r="AG52" i="5"/>
  <c r="AH52" i="5" s="1"/>
  <c r="U53" i="5"/>
  <c r="V53" i="5"/>
  <c r="AA53" i="5"/>
  <c r="AB53" i="5" s="1"/>
  <c r="C57" i="16" s="1"/>
  <c r="J54" i="5"/>
  <c r="A50" i="33" s="1"/>
  <c r="D50" i="33" s="1"/>
  <c r="K54" i="5"/>
  <c r="L54" i="5" s="1"/>
  <c r="C58" i="13" s="1"/>
  <c r="P54" i="5"/>
  <c r="D55" i="5"/>
  <c r="E55" i="5"/>
  <c r="B56" i="5"/>
  <c r="C60" i="8" s="1"/>
  <c r="B57" i="30"/>
  <c r="C57" i="30"/>
  <c r="D57" i="30"/>
  <c r="E57" i="30"/>
  <c r="F57" i="30"/>
  <c r="G57" i="30"/>
  <c r="H57" i="30"/>
  <c r="I57" i="30"/>
  <c r="J57" i="30"/>
  <c r="K57" i="30"/>
  <c r="L57" i="30"/>
  <c r="M57" i="30"/>
  <c r="N57" i="30"/>
  <c r="O57" i="30"/>
  <c r="P57" i="30"/>
  <c r="B58" i="30"/>
  <c r="B65" i="30" s="1"/>
  <c r="C58" i="30"/>
  <c r="D58" i="30"/>
  <c r="E58" i="30"/>
  <c r="F58" i="30"/>
  <c r="G58" i="30"/>
  <c r="H58" i="30"/>
  <c r="I58" i="30"/>
  <c r="J58" i="30"/>
  <c r="K58" i="30"/>
  <c r="L58" i="30"/>
  <c r="M58" i="30"/>
  <c r="N58" i="30"/>
  <c r="O58" i="30"/>
  <c r="P58" i="30"/>
  <c r="AB105" i="25"/>
  <c r="AA60" i="8" l="1"/>
  <c r="U60" i="8"/>
  <c r="Z60" i="8"/>
  <c r="S57" i="5"/>
  <c r="T57" i="5" s="1"/>
  <c r="N57" i="5"/>
  <c r="O57" i="5" s="1"/>
  <c r="F55" i="5"/>
  <c r="AN55" i="5"/>
  <c r="AD56" i="5"/>
  <c r="AE56" i="5" s="1"/>
  <c r="Y56" i="5"/>
  <c r="Z56" i="5" s="1"/>
  <c r="AQ56" i="5"/>
  <c r="AR56" i="5" s="1"/>
  <c r="C58" i="5"/>
  <c r="H58" i="5"/>
  <c r="I58" i="5" s="1"/>
  <c r="B50" i="33"/>
  <c r="N56" i="5"/>
  <c r="O56" i="5" s="1"/>
  <c r="S56" i="5"/>
  <c r="C57" i="5"/>
  <c r="H57" i="5"/>
  <c r="I57" i="5" s="1"/>
  <c r="C58" i="12"/>
  <c r="W58" i="12" s="1"/>
  <c r="Z58" i="13"/>
  <c r="AA58" i="13"/>
  <c r="AA57" i="16"/>
  <c r="Z57" i="16"/>
  <c r="G55" i="5"/>
  <c r="C56" i="9"/>
  <c r="C56" i="5"/>
  <c r="H56" i="5"/>
  <c r="I56" i="5" s="1"/>
  <c r="M54" i="5"/>
  <c r="D58" i="18"/>
  <c r="D53" i="19"/>
  <c r="AC53" i="5"/>
  <c r="D57" i="15"/>
  <c r="D57" i="14"/>
  <c r="AI52" i="5"/>
  <c r="D56" i="17"/>
  <c r="D56" i="16"/>
  <c r="Q57" i="30"/>
  <c r="W53" i="5"/>
  <c r="C57" i="17" s="1"/>
  <c r="D57" i="12"/>
  <c r="D57" i="24"/>
  <c r="Q58" i="30"/>
  <c r="L17" i="29"/>
  <c r="Q54" i="5"/>
  <c r="C50" i="33" s="1"/>
  <c r="C62" i="12"/>
  <c r="AA51" i="19"/>
  <c r="Z56" i="18"/>
  <c r="T56" i="5" l="1"/>
  <c r="D60" i="8"/>
  <c r="X60" i="8" s="1"/>
  <c r="Y60" i="8" s="1"/>
  <c r="AO55" i="5"/>
  <c r="AP55" i="5" s="1"/>
  <c r="V58" i="12"/>
  <c r="C58" i="15"/>
  <c r="C58" i="11"/>
  <c r="Z56" i="9"/>
  <c r="AA56" i="9"/>
  <c r="S56" i="9"/>
  <c r="T56" i="9" s="1"/>
  <c r="Z57" i="17"/>
  <c r="AA57" i="17"/>
  <c r="AB56" i="17"/>
  <c r="S56" i="17"/>
  <c r="T56" i="17" s="1"/>
  <c r="N56" i="17"/>
  <c r="O56" i="17" s="1"/>
  <c r="X56" i="17"/>
  <c r="Y56" i="17" s="1"/>
  <c r="AB57" i="14"/>
  <c r="N57" i="14"/>
  <c r="O57" i="14" s="1"/>
  <c r="X57" i="14"/>
  <c r="Y57" i="14" s="1"/>
  <c r="S57" i="14"/>
  <c r="T57" i="14" s="1"/>
  <c r="AB58" i="18"/>
  <c r="N58" i="18"/>
  <c r="O58" i="18" s="1"/>
  <c r="X58" i="18"/>
  <c r="Y58" i="18" s="1"/>
  <c r="S58" i="18"/>
  <c r="T58" i="18" s="1"/>
  <c r="S56" i="16"/>
  <c r="T56" i="16" s="1"/>
  <c r="N56" i="16"/>
  <c r="O56" i="16" s="1"/>
  <c r="X56" i="16"/>
  <c r="Y56" i="16" s="1"/>
  <c r="AB56" i="16"/>
  <c r="S57" i="15"/>
  <c r="T57" i="15" s="1"/>
  <c r="AB57" i="15"/>
  <c r="X57" i="15"/>
  <c r="Y57" i="15" s="1"/>
  <c r="N57" i="15"/>
  <c r="O57" i="15" s="1"/>
  <c r="X53" i="19"/>
  <c r="Y53" i="19" s="1"/>
  <c r="S53" i="19"/>
  <c r="T53" i="19" s="1"/>
  <c r="N53" i="19"/>
  <c r="O53" i="19" s="1"/>
  <c r="AB53" i="19"/>
  <c r="W57" i="24"/>
  <c r="S57" i="24"/>
  <c r="T57" i="24" s="1"/>
  <c r="N57" i="24"/>
  <c r="O57" i="24" s="1"/>
  <c r="X53" i="5"/>
  <c r="D57" i="13"/>
  <c r="D57" i="11"/>
  <c r="X57" i="12"/>
  <c r="N57" i="12"/>
  <c r="O57" i="12" s="1"/>
  <c r="S57" i="12"/>
  <c r="T57" i="12" s="1"/>
  <c r="R54" i="5"/>
  <c r="D55" i="9"/>
  <c r="C92" i="3"/>
  <c r="C136" i="3"/>
  <c r="D136" i="3"/>
  <c r="K37" i="3"/>
  <c r="L37" i="3"/>
  <c r="V139" i="25"/>
  <c r="D37" i="3"/>
  <c r="F37" i="3" s="1"/>
  <c r="E136" i="3" l="1"/>
  <c r="F136" i="3" s="1"/>
  <c r="G136" i="3" s="1"/>
  <c r="AB60" i="8"/>
  <c r="S60" i="8"/>
  <c r="T60" i="8" s="1"/>
  <c r="N60" i="8"/>
  <c r="O60" i="8" s="1"/>
  <c r="Z58" i="11"/>
  <c r="AA58" i="11"/>
  <c r="AA58" i="15"/>
  <c r="Z58" i="15"/>
  <c r="H37" i="3"/>
  <c r="G37" i="3"/>
  <c r="D92" i="3"/>
  <c r="E92" i="3" s="1"/>
  <c r="F92" i="3" s="1"/>
  <c r="G92" i="3" s="1"/>
  <c r="AB57" i="11"/>
  <c r="N57" i="11"/>
  <c r="O57" i="11" s="1"/>
  <c r="X57" i="11"/>
  <c r="Y57" i="11" s="1"/>
  <c r="S57" i="11"/>
  <c r="T57" i="11" s="1"/>
  <c r="AB57" i="13"/>
  <c r="N57" i="13"/>
  <c r="O57" i="13" s="1"/>
  <c r="X57" i="13"/>
  <c r="Y57" i="13" s="1"/>
  <c r="S57" i="13"/>
  <c r="T57" i="13" s="1"/>
  <c r="AB55" i="9"/>
  <c r="N55" i="9"/>
  <c r="O55" i="9" s="1"/>
  <c r="X55" i="9"/>
  <c r="Y55" i="9" s="1"/>
  <c r="J139" i="25"/>
  <c r="I139" i="25"/>
  <c r="Q139" i="25" s="1"/>
  <c r="U11" i="4"/>
  <c r="U12" i="4"/>
  <c r="U13" i="4"/>
  <c r="U14" i="4"/>
  <c r="U15" i="4"/>
  <c r="U16" i="4"/>
  <c r="U17" i="4"/>
  <c r="U18" i="4"/>
  <c r="U19" i="4"/>
  <c r="U20" i="4"/>
  <c r="U21" i="4"/>
  <c r="U22" i="4"/>
  <c r="U23" i="4"/>
  <c r="U24" i="4"/>
  <c r="U25" i="4"/>
  <c r="U26" i="4"/>
  <c r="U27" i="4"/>
  <c r="U28" i="4"/>
  <c r="U29" i="4"/>
  <c r="U30" i="4"/>
  <c r="U31" i="4"/>
  <c r="U32" i="4"/>
  <c r="U33" i="4"/>
  <c r="U34" i="4"/>
  <c r="U35" i="4"/>
  <c r="U36" i="4"/>
  <c r="U37" i="4"/>
  <c r="U38" i="4"/>
  <c r="U39" i="4"/>
  <c r="U40" i="4"/>
  <c r="U41" i="4"/>
  <c r="U42" i="4"/>
  <c r="U43" i="4"/>
  <c r="U44" i="4"/>
  <c r="U45" i="4"/>
  <c r="U46" i="4"/>
  <c r="U47" i="4"/>
  <c r="U48" i="4"/>
  <c r="U49" i="4"/>
  <c r="U50" i="4"/>
  <c r="U51" i="4"/>
  <c r="U52" i="4"/>
  <c r="U53" i="4"/>
  <c r="U54" i="4"/>
  <c r="U55" i="4"/>
  <c r="U56" i="4"/>
  <c r="U57" i="4"/>
  <c r="T30" i="4"/>
  <c r="T31" i="4"/>
  <c r="T32" i="4"/>
  <c r="T33" i="4"/>
  <c r="T34" i="4"/>
  <c r="T35" i="4"/>
  <c r="T36" i="4"/>
  <c r="T37" i="4"/>
  <c r="T38" i="4"/>
  <c r="T39" i="4"/>
  <c r="T40" i="4"/>
  <c r="T41" i="4"/>
  <c r="T42" i="4"/>
  <c r="T43" i="4"/>
  <c r="T44" i="4"/>
  <c r="T45" i="4"/>
  <c r="T46" i="4"/>
  <c r="T47" i="4"/>
  <c r="T49" i="4"/>
  <c r="T50" i="4"/>
  <c r="T51" i="4"/>
  <c r="T52" i="4"/>
  <c r="T53" i="4"/>
  <c r="T54" i="4"/>
  <c r="T55" i="4"/>
  <c r="T56" i="4"/>
  <c r="T57" i="4"/>
  <c r="T58" i="4"/>
  <c r="T59" i="4"/>
  <c r="T60" i="4"/>
  <c r="T61" i="4"/>
  <c r="T48" i="4"/>
  <c r="B67" i="4"/>
  <c r="J138" i="25"/>
  <c r="D36" i="3" l="1"/>
  <c r="D53" i="3" s="1"/>
  <c r="E53" i="3" s="1"/>
  <c r="Y157" i="25" l="1"/>
  <c r="Y156" i="25"/>
  <c r="Y155" i="25"/>
  <c r="Y154" i="25"/>
  <c r="T157" i="25"/>
  <c r="T156" i="25"/>
  <c r="T155" i="25"/>
  <c r="T154" i="25"/>
  <c r="R157" i="25"/>
  <c r="R156" i="25"/>
  <c r="R155" i="25"/>
  <c r="R154" i="25"/>
  <c r="Y151" i="25"/>
  <c r="Y150" i="25"/>
  <c r="Y149" i="25"/>
  <c r="Y148" i="25"/>
  <c r="T151" i="25"/>
  <c r="T150" i="25"/>
  <c r="T149" i="25"/>
  <c r="T148" i="25"/>
  <c r="R151" i="25"/>
  <c r="R150" i="25"/>
  <c r="R149" i="25"/>
  <c r="R148" i="25"/>
  <c r="I140" i="25" l="1"/>
  <c r="Q140" i="25" s="1"/>
  <c r="A15" i="2" l="1"/>
  <c r="AI40" i="15"/>
  <c r="P4" i="31" l="1"/>
  <c r="T4" i="31" s="1"/>
  <c r="P5" i="31"/>
  <c r="P6" i="31"/>
  <c r="P7" i="31"/>
  <c r="P8" i="31"/>
  <c r="P9" i="31"/>
  <c r="P10" i="31"/>
  <c r="P11" i="31"/>
  <c r="P12" i="31"/>
  <c r="P13" i="31"/>
  <c r="P14" i="31"/>
  <c r="P15" i="31"/>
  <c r="P16" i="31"/>
  <c r="P17" i="31"/>
  <c r="P18" i="31"/>
  <c r="P19" i="31"/>
  <c r="P20" i="31"/>
  <c r="P21" i="31"/>
  <c r="P22" i="31"/>
  <c r="P23" i="31"/>
  <c r="P24" i="31"/>
  <c r="P25" i="31"/>
  <c r="P26" i="31"/>
  <c r="P27" i="31"/>
  <c r="P28" i="31"/>
  <c r="P29" i="31"/>
  <c r="P30" i="31"/>
  <c r="P31" i="31"/>
  <c r="P32" i="31"/>
  <c r="P33" i="31"/>
  <c r="P34" i="31"/>
  <c r="P35" i="31"/>
  <c r="P36" i="31"/>
  <c r="P37" i="31"/>
  <c r="P38" i="31"/>
  <c r="P39" i="31"/>
  <c r="P40" i="31"/>
  <c r="P41" i="31"/>
  <c r="P42" i="31"/>
  <c r="P43" i="31"/>
  <c r="P44" i="31"/>
  <c r="P45" i="31"/>
  <c r="P46" i="31"/>
  <c r="P47" i="31"/>
  <c r="P48" i="31"/>
  <c r="P49" i="31"/>
  <c r="C26" i="31"/>
  <c r="E26" i="31" s="1"/>
  <c r="C7" i="31"/>
  <c r="C8" i="31"/>
  <c r="C9" i="31"/>
  <c r="C10" i="31"/>
  <c r="C11" i="31"/>
  <c r="C12" i="31"/>
  <c r="C13" i="31"/>
  <c r="C14" i="31"/>
  <c r="C15" i="31"/>
  <c r="C16" i="31"/>
  <c r="C17" i="31"/>
  <c r="C18" i="31"/>
  <c r="C19" i="31"/>
  <c r="C20" i="31"/>
  <c r="C21" i="31"/>
  <c r="C22" i="31"/>
  <c r="C23" i="31"/>
  <c r="C24" i="31"/>
  <c r="C25" i="31"/>
  <c r="C6" i="31"/>
  <c r="B26" i="31"/>
  <c r="D26" i="31" s="1"/>
  <c r="B27" i="31"/>
  <c r="D27" i="31" s="1"/>
  <c r="B28" i="31"/>
  <c r="D28" i="31" s="1"/>
  <c r="B7" i="31"/>
  <c r="B8" i="31"/>
  <c r="B9" i="31"/>
  <c r="B10" i="31"/>
  <c r="B11" i="31"/>
  <c r="B12" i="31"/>
  <c r="B13" i="31"/>
  <c r="B14" i="31"/>
  <c r="B15" i="31"/>
  <c r="B16" i="31"/>
  <c r="B17" i="31"/>
  <c r="B18" i="31"/>
  <c r="B19" i="31"/>
  <c r="B20" i="31"/>
  <c r="B21" i="31"/>
  <c r="B22" i="31"/>
  <c r="B23" i="31"/>
  <c r="B24" i="31"/>
  <c r="B25" i="31"/>
  <c r="B6" i="31"/>
  <c r="M53" i="23"/>
  <c r="N53" i="23" s="1"/>
  <c r="M54" i="23"/>
  <c r="N54" i="23" s="1"/>
  <c r="M11" i="23"/>
  <c r="N11" i="23" s="1"/>
  <c r="M12" i="23"/>
  <c r="N12" i="23" s="1"/>
  <c r="M13" i="23"/>
  <c r="N13" i="23" s="1"/>
  <c r="M14" i="23"/>
  <c r="N14" i="23" s="1"/>
  <c r="M15" i="23"/>
  <c r="N15" i="23" s="1"/>
  <c r="M16" i="23"/>
  <c r="N16" i="23" s="1"/>
  <c r="M17" i="23"/>
  <c r="N17" i="23" s="1"/>
  <c r="M18" i="23"/>
  <c r="N18" i="23" s="1"/>
  <c r="M19" i="23"/>
  <c r="N19" i="23" s="1"/>
  <c r="M20" i="23"/>
  <c r="N20" i="23" s="1"/>
  <c r="M21" i="23"/>
  <c r="N21" i="23" s="1"/>
  <c r="M22" i="23"/>
  <c r="N22" i="23" s="1"/>
  <c r="M23" i="23"/>
  <c r="N23" i="23" s="1"/>
  <c r="M24" i="23"/>
  <c r="N24" i="23" s="1"/>
  <c r="M25" i="23"/>
  <c r="N25" i="23" s="1"/>
  <c r="M26" i="23"/>
  <c r="N26" i="23" s="1"/>
  <c r="M27" i="23"/>
  <c r="N27" i="23" s="1"/>
  <c r="M28" i="23"/>
  <c r="N28" i="23" s="1"/>
  <c r="M29" i="23"/>
  <c r="N29" i="23" s="1"/>
  <c r="M30" i="23"/>
  <c r="N30" i="23" s="1"/>
  <c r="M31" i="23"/>
  <c r="N31" i="23" s="1"/>
  <c r="M32" i="23"/>
  <c r="N32" i="23" s="1"/>
  <c r="M33" i="23"/>
  <c r="N33" i="23" s="1"/>
  <c r="M34" i="23"/>
  <c r="N34" i="23" s="1"/>
  <c r="M35" i="23"/>
  <c r="N35" i="23" s="1"/>
  <c r="M36" i="23"/>
  <c r="N36" i="23" s="1"/>
  <c r="M37" i="23"/>
  <c r="N37" i="23" s="1"/>
  <c r="M38" i="23"/>
  <c r="N38" i="23" s="1"/>
  <c r="M39" i="23"/>
  <c r="N39" i="23" s="1"/>
  <c r="M40" i="23"/>
  <c r="N40" i="23" s="1"/>
  <c r="M41" i="23"/>
  <c r="N41" i="23" s="1"/>
  <c r="M42" i="23"/>
  <c r="N42" i="23" s="1"/>
  <c r="M43" i="23"/>
  <c r="N43" i="23" s="1"/>
  <c r="M44" i="23"/>
  <c r="N44" i="23" s="1"/>
  <c r="M45" i="23"/>
  <c r="N45" i="23" s="1"/>
  <c r="M46" i="23"/>
  <c r="N46" i="23" s="1"/>
  <c r="M47" i="23"/>
  <c r="N47" i="23" s="1"/>
  <c r="M48" i="23"/>
  <c r="N48" i="23" s="1"/>
  <c r="M49" i="23"/>
  <c r="N49" i="23" s="1"/>
  <c r="M50" i="23"/>
  <c r="N50" i="23" s="1"/>
  <c r="M51" i="23"/>
  <c r="N51" i="23" s="1"/>
  <c r="M52" i="23"/>
  <c r="N52" i="23" s="1"/>
  <c r="M10" i="23"/>
  <c r="N10" i="23" s="1"/>
  <c r="AF51" i="5"/>
  <c r="AG51" i="5"/>
  <c r="AH51" i="5" s="1"/>
  <c r="U52" i="5"/>
  <c r="V52" i="5"/>
  <c r="AA52" i="5"/>
  <c r="J53" i="5"/>
  <c r="A49" i="33" s="1"/>
  <c r="D49" i="33" s="1"/>
  <c r="K53" i="5"/>
  <c r="O54" i="23" s="1"/>
  <c r="P53" i="5"/>
  <c r="B49" i="33" s="1"/>
  <c r="D54" i="5"/>
  <c r="E54" i="5"/>
  <c r="AN54" i="5" s="1"/>
  <c r="B55" i="5"/>
  <c r="V138" i="25"/>
  <c r="C135" i="3"/>
  <c r="D135" i="3"/>
  <c r="C91" i="3"/>
  <c r="D91" i="3"/>
  <c r="E36" i="3"/>
  <c r="E135" i="3" l="1"/>
  <c r="F135" i="3" s="1"/>
  <c r="G135" i="3" s="1"/>
  <c r="G143" i="3" s="1"/>
  <c r="C59" i="10"/>
  <c r="C59" i="24"/>
  <c r="AJ55" i="5"/>
  <c r="AK55" i="5" s="1"/>
  <c r="AQ55" i="5"/>
  <c r="AR55" i="5" s="1"/>
  <c r="C59" i="8"/>
  <c r="AA59" i="8" s="1"/>
  <c r="Y55" i="5"/>
  <c r="AD55" i="5"/>
  <c r="AE55" i="5" s="1"/>
  <c r="F54" i="5"/>
  <c r="G54" i="5" s="1"/>
  <c r="N55" i="5"/>
  <c r="O55" i="5" s="1"/>
  <c r="S55" i="5"/>
  <c r="Q53" i="5"/>
  <c r="D54" i="9" s="1"/>
  <c r="C57" i="12"/>
  <c r="E91" i="3"/>
  <c r="F91" i="3" s="1"/>
  <c r="G91" i="3" s="1"/>
  <c r="G99" i="3" s="1"/>
  <c r="T49" i="31"/>
  <c r="U49" i="31" s="1"/>
  <c r="W52" i="5"/>
  <c r="C56" i="17" s="1"/>
  <c r="D56" i="12"/>
  <c r="D56" i="24"/>
  <c r="AI51" i="5"/>
  <c r="D55" i="17"/>
  <c r="D55" i="16"/>
  <c r="C55" i="5"/>
  <c r="C59" i="14" s="1"/>
  <c r="H55" i="5"/>
  <c r="I55" i="5" s="1"/>
  <c r="AB52" i="5"/>
  <c r="C56" i="16" s="1"/>
  <c r="L53" i="5"/>
  <c r="C57" i="13" s="1"/>
  <c r="S53" i="23"/>
  <c r="P54" i="23"/>
  <c r="Q54" i="23" s="1"/>
  <c r="R53" i="23"/>
  <c r="AA59" i="14" l="1"/>
  <c r="Z59" i="14"/>
  <c r="Z55" i="5"/>
  <c r="D59" i="10"/>
  <c r="V59" i="24"/>
  <c r="U59" i="24"/>
  <c r="AA59" i="10"/>
  <c r="U59" i="10"/>
  <c r="X59" i="10" s="1"/>
  <c r="Y59" i="10" s="1"/>
  <c r="Z59" i="10"/>
  <c r="T53" i="23"/>
  <c r="C55" i="9"/>
  <c r="S55" i="9" s="1"/>
  <c r="T55" i="9" s="1"/>
  <c r="R53" i="5"/>
  <c r="C49" i="33"/>
  <c r="U59" i="8"/>
  <c r="Z59" i="8"/>
  <c r="AO54" i="5"/>
  <c r="AP54" i="5" s="1"/>
  <c r="T55" i="5"/>
  <c r="D59" i="8"/>
  <c r="Z57" i="13"/>
  <c r="AA57" i="13"/>
  <c r="AA56" i="16"/>
  <c r="Z56" i="16"/>
  <c r="Z56" i="17"/>
  <c r="AA56" i="17"/>
  <c r="W57" i="12"/>
  <c r="V57" i="12"/>
  <c r="C57" i="11"/>
  <c r="C57" i="15"/>
  <c r="M53" i="5"/>
  <c r="D57" i="18"/>
  <c r="D52" i="19"/>
  <c r="S55" i="17"/>
  <c r="T55" i="17" s="1"/>
  <c r="X55" i="17"/>
  <c r="Y55" i="17" s="1"/>
  <c r="N55" i="17"/>
  <c r="O55" i="17" s="1"/>
  <c r="AB55" i="17"/>
  <c r="N56" i="24"/>
  <c r="O56" i="24" s="1"/>
  <c r="S56" i="24"/>
  <c r="T56" i="24" s="1"/>
  <c r="W56" i="24"/>
  <c r="X52" i="5"/>
  <c r="D56" i="11"/>
  <c r="D56" i="13"/>
  <c r="AC52" i="5"/>
  <c r="D56" i="14"/>
  <c r="D56" i="15"/>
  <c r="AB55" i="16"/>
  <c r="X55" i="16"/>
  <c r="Y55" i="16" s="1"/>
  <c r="S55" i="16"/>
  <c r="T55" i="16" s="1"/>
  <c r="N55" i="16"/>
  <c r="O55" i="16" s="1"/>
  <c r="X56" i="12"/>
  <c r="S56" i="12"/>
  <c r="T56" i="12" s="1"/>
  <c r="N56" i="12"/>
  <c r="O56" i="12" s="1"/>
  <c r="X54" i="9"/>
  <c r="Y54" i="9" s="1"/>
  <c r="N54" i="9"/>
  <c r="O54" i="9" s="1"/>
  <c r="AB54" i="9"/>
  <c r="G36" i="3"/>
  <c r="K36" i="3"/>
  <c r="L36" i="3"/>
  <c r="H36" i="3"/>
  <c r="W3" i="31"/>
  <c r="A1" i="31"/>
  <c r="T5" i="31"/>
  <c r="U5" i="31" s="1"/>
  <c r="T6" i="31"/>
  <c r="U6" i="31" s="1"/>
  <c r="T7" i="31"/>
  <c r="U7" i="31" s="1"/>
  <c r="T8" i="31"/>
  <c r="U8" i="31" s="1"/>
  <c r="T9" i="31"/>
  <c r="U9" i="31" s="1"/>
  <c r="T10" i="31"/>
  <c r="U10" i="31" s="1"/>
  <c r="T11" i="31"/>
  <c r="U11" i="31" s="1"/>
  <c r="T12" i="31"/>
  <c r="U12" i="31" s="1"/>
  <c r="T13" i="31"/>
  <c r="U13" i="31" s="1"/>
  <c r="T14" i="31"/>
  <c r="U14" i="31" s="1"/>
  <c r="T15" i="31"/>
  <c r="U15" i="31" s="1"/>
  <c r="T16" i="31"/>
  <c r="U16" i="31" s="1"/>
  <c r="T17" i="31"/>
  <c r="U17" i="31" s="1"/>
  <c r="T18" i="31"/>
  <c r="U18" i="31" s="1"/>
  <c r="T19" i="31"/>
  <c r="U19" i="31" s="1"/>
  <c r="T20" i="31"/>
  <c r="U20" i="31" s="1"/>
  <c r="T21" i="31"/>
  <c r="U21" i="31" s="1"/>
  <c r="T22" i="31"/>
  <c r="U22" i="31" s="1"/>
  <c r="T23" i="31"/>
  <c r="U23" i="31" s="1"/>
  <c r="T24" i="31"/>
  <c r="U24" i="31" s="1"/>
  <c r="T25" i="31"/>
  <c r="U25" i="31" s="1"/>
  <c r="T26" i="31"/>
  <c r="U26" i="31" s="1"/>
  <c r="T27" i="31"/>
  <c r="U27" i="31" s="1"/>
  <c r="T28" i="31"/>
  <c r="U28" i="31" s="1"/>
  <c r="T29" i="31"/>
  <c r="U29" i="31" s="1"/>
  <c r="T30" i="31"/>
  <c r="U30" i="31" s="1"/>
  <c r="T31" i="31"/>
  <c r="U31" i="31" s="1"/>
  <c r="T32" i="31"/>
  <c r="U32" i="31" s="1"/>
  <c r="T33" i="31"/>
  <c r="U33" i="31" s="1"/>
  <c r="T34" i="31"/>
  <c r="U34" i="31" s="1"/>
  <c r="T35" i="31"/>
  <c r="U35" i="31" s="1"/>
  <c r="T36" i="31"/>
  <c r="U36" i="31" s="1"/>
  <c r="T37" i="31"/>
  <c r="U37" i="31" s="1"/>
  <c r="T38" i="31"/>
  <c r="U38" i="31" s="1"/>
  <c r="T39" i="31"/>
  <c r="U39" i="31" s="1"/>
  <c r="T40" i="31"/>
  <c r="U40" i="31" s="1"/>
  <c r="T41" i="31"/>
  <c r="U41" i="31" s="1"/>
  <c r="T42" i="31"/>
  <c r="U42" i="31" s="1"/>
  <c r="T43" i="31"/>
  <c r="U43" i="31" s="1"/>
  <c r="T44" i="31"/>
  <c r="U44" i="31" s="1"/>
  <c r="T45" i="31"/>
  <c r="U45" i="31" s="1"/>
  <c r="T46" i="31"/>
  <c r="U46" i="31" s="1"/>
  <c r="T47" i="31"/>
  <c r="U47" i="31" s="1"/>
  <c r="T48" i="31"/>
  <c r="U48" i="31" s="1"/>
  <c r="U4" i="31"/>
  <c r="R5" i="31"/>
  <c r="R6" i="31"/>
  <c r="R7" i="31"/>
  <c r="R8" i="31"/>
  <c r="R9" i="31"/>
  <c r="R10" i="31"/>
  <c r="R11" i="31"/>
  <c r="R12" i="31"/>
  <c r="R13" i="31"/>
  <c r="R14" i="31"/>
  <c r="R15" i="31"/>
  <c r="R16" i="31"/>
  <c r="R17" i="31"/>
  <c r="R18" i="31"/>
  <c r="R19" i="31"/>
  <c r="R20" i="31"/>
  <c r="R21" i="31"/>
  <c r="R22" i="31"/>
  <c r="R23" i="31"/>
  <c r="R24" i="31"/>
  <c r="R25" i="31"/>
  <c r="R26" i="31"/>
  <c r="R27" i="31"/>
  <c r="R28" i="31"/>
  <c r="R29" i="31"/>
  <c r="R30" i="31"/>
  <c r="R31" i="31"/>
  <c r="R32" i="31"/>
  <c r="R33" i="31"/>
  <c r="R34" i="31"/>
  <c r="R35" i="31"/>
  <c r="R36" i="31"/>
  <c r="R37" i="31"/>
  <c r="R38" i="31"/>
  <c r="R39" i="31"/>
  <c r="R40" i="31"/>
  <c r="R41" i="31"/>
  <c r="R42" i="31"/>
  <c r="R43" i="31"/>
  <c r="R44" i="31"/>
  <c r="R45" i="31"/>
  <c r="R46" i="31"/>
  <c r="R47" i="31"/>
  <c r="R4" i="31"/>
  <c r="D25" i="28"/>
  <c r="D7" i="31"/>
  <c r="E7" i="31"/>
  <c r="D8" i="31"/>
  <c r="E8" i="31"/>
  <c r="D9" i="31"/>
  <c r="E9" i="31"/>
  <c r="D10" i="31"/>
  <c r="E10" i="31"/>
  <c r="D11" i="31"/>
  <c r="E11" i="31"/>
  <c r="D12" i="31"/>
  <c r="E12" i="31"/>
  <c r="D13" i="31"/>
  <c r="E13" i="31"/>
  <c r="D14" i="31"/>
  <c r="E14" i="31"/>
  <c r="D15" i="31"/>
  <c r="E15" i="31"/>
  <c r="D16" i="31"/>
  <c r="E16" i="31"/>
  <c r="D17" i="31"/>
  <c r="E17" i="31"/>
  <c r="D18" i="31"/>
  <c r="E18" i="31"/>
  <c r="D19" i="31"/>
  <c r="E19" i="31"/>
  <c r="D20" i="31"/>
  <c r="E20" i="31"/>
  <c r="D21" i="31"/>
  <c r="E21" i="31"/>
  <c r="D22" i="31"/>
  <c r="E22" i="31"/>
  <c r="D23" i="31"/>
  <c r="E23" i="31"/>
  <c r="D24" i="31"/>
  <c r="E24" i="31"/>
  <c r="D25" i="31"/>
  <c r="E25" i="31"/>
  <c r="E6" i="31"/>
  <c r="D6" i="31"/>
  <c r="C11" i="29"/>
  <c r="D47" i="30"/>
  <c r="D48" i="30"/>
  <c r="D49" i="30"/>
  <c r="D50" i="30"/>
  <c r="D51" i="30"/>
  <c r="D52" i="30"/>
  <c r="D53" i="30"/>
  <c r="D54" i="30"/>
  <c r="D55" i="30"/>
  <c r="D56" i="30"/>
  <c r="D65" i="30" s="1"/>
  <c r="E47" i="30"/>
  <c r="E48" i="30"/>
  <c r="E49" i="30"/>
  <c r="E50" i="30"/>
  <c r="E51" i="30"/>
  <c r="E52" i="30"/>
  <c r="E53" i="30"/>
  <c r="E54" i="30"/>
  <c r="E55" i="30"/>
  <c r="E56" i="30"/>
  <c r="E65" i="30" s="1"/>
  <c r="F47" i="30"/>
  <c r="F48" i="30"/>
  <c r="F49" i="30"/>
  <c r="F50" i="30"/>
  <c r="F51" i="30"/>
  <c r="F52" i="30"/>
  <c r="F53" i="30"/>
  <c r="F54" i="30"/>
  <c r="F55" i="30"/>
  <c r="F56" i="30"/>
  <c r="F65" i="30" s="1"/>
  <c r="I47" i="30"/>
  <c r="I48" i="30"/>
  <c r="I49" i="30"/>
  <c r="I50" i="30"/>
  <c r="I51" i="30"/>
  <c r="I52" i="30"/>
  <c r="I53" i="30"/>
  <c r="I54" i="30"/>
  <c r="I55" i="30"/>
  <c r="I56" i="30"/>
  <c r="I65" i="30" s="1"/>
  <c r="J47" i="30"/>
  <c r="J48" i="30"/>
  <c r="J49" i="30"/>
  <c r="J50" i="30"/>
  <c r="J51" i="30"/>
  <c r="J52" i="30"/>
  <c r="J53" i="30"/>
  <c r="J54" i="30"/>
  <c r="J55" i="30"/>
  <c r="J56" i="30"/>
  <c r="J65" i="30" s="1"/>
  <c r="L47" i="30"/>
  <c r="L48" i="30"/>
  <c r="L49" i="30"/>
  <c r="L50" i="30"/>
  <c r="L51" i="30"/>
  <c r="L52" i="30"/>
  <c r="L53" i="30"/>
  <c r="L54" i="30"/>
  <c r="L55" i="30"/>
  <c r="L56" i="30"/>
  <c r="L65" i="30" s="1"/>
  <c r="D36" i="30"/>
  <c r="D37" i="30"/>
  <c r="D38" i="30"/>
  <c r="D39" i="30"/>
  <c r="D40" i="30"/>
  <c r="D41" i="30"/>
  <c r="D42" i="30"/>
  <c r="D43" i="30"/>
  <c r="D44" i="30"/>
  <c r="D45" i="30"/>
  <c r="D46" i="30"/>
  <c r="E36" i="30"/>
  <c r="E37" i="30"/>
  <c r="E38" i="30"/>
  <c r="E39" i="30"/>
  <c r="E40" i="30"/>
  <c r="E41" i="30"/>
  <c r="E42" i="30"/>
  <c r="E43" i="30"/>
  <c r="E44" i="30"/>
  <c r="E45" i="30"/>
  <c r="E46" i="30"/>
  <c r="F36" i="30"/>
  <c r="F37" i="30"/>
  <c r="F38" i="30"/>
  <c r="F39" i="30"/>
  <c r="F40" i="30"/>
  <c r="F41" i="30"/>
  <c r="F42" i="30"/>
  <c r="F43" i="30"/>
  <c r="F44" i="30"/>
  <c r="F45" i="30"/>
  <c r="F46" i="30"/>
  <c r="I36" i="30"/>
  <c r="I37" i="30"/>
  <c r="I38" i="30"/>
  <c r="I39" i="30"/>
  <c r="I40" i="30"/>
  <c r="I41" i="30"/>
  <c r="I42" i="30"/>
  <c r="I43" i="30"/>
  <c r="I44" i="30"/>
  <c r="I45" i="30"/>
  <c r="I46" i="30"/>
  <c r="J36" i="30"/>
  <c r="J37" i="30"/>
  <c r="J38" i="30"/>
  <c r="J39" i="30"/>
  <c r="J40" i="30"/>
  <c r="J41" i="30"/>
  <c r="J42" i="30"/>
  <c r="J43" i="30"/>
  <c r="J44" i="30"/>
  <c r="J45" i="30"/>
  <c r="J46" i="30"/>
  <c r="L36" i="30"/>
  <c r="L37" i="30"/>
  <c r="L38" i="30"/>
  <c r="L39" i="30"/>
  <c r="L40" i="30"/>
  <c r="L41" i="30"/>
  <c r="L42" i="30"/>
  <c r="L43" i="30"/>
  <c r="L44" i="30"/>
  <c r="L45" i="30"/>
  <c r="L46" i="30"/>
  <c r="D26" i="30"/>
  <c r="D27" i="30"/>
  <c r="D28" i="30"/>
  <c r="D29" i="30"/>
  <c r="D30" i="30"/>
  <c r="D31" i="30"/>
  <c r="D32" i="30"/>
  <c r="D33" i="30"/>
  <c r="D34" i="30"/>
  <c r="D35" i="30"/>
  <c r="E26" i="30"/>
  <c r="E27" i="30"/>
  <c r="E28" i="30"/>
  <c r="E29" i="30"/>
  <c r="E30" i="30"/>
  <c r="E31" i="30"/>
  <c r="E32" i="30"/>
  <c r="E33" i="30"/>
  <c r="E34" i="30"/>
  <c r="E35" i="30"/>
  <c r="F26" i="30"/>
  <c r="F27" i="30"/>
  <c r="F28" i="30"/>
  <c r="F29" i="30"/>
  <c r="F30" i="30"/>
  <c r="F31" i="30"/>
  <c r="F32" i="30"/>
  <c r="F33" i="30"/>
  <c r="F34" i="30"/>
  <c r="F35" i="30"/>
  <c r="I26" i="30"/>
  <c r="I27" i="30"/>
  <c r="I28" i="30"/>
  <c r="I29" i="30"/>
  <c r="I30" i="30"/>
  <c r="I31" i="30"/>
  <c r="I32" i="30"/>
  <c r="I33" i="30"/>
  <c r="I34" i="30"/>
  <c r="I35" i="30"/>
  <c r="J26" i="30"/>
  <c r="J27" i="30"/>
  <c r="J28" i="30"/>
  <c r="J29" i="30"/>
  <c r="J30" i="30"/>
  <c r="J31" i="30"/>
  <c r="J32" i="30"/>
  <c r="J33" i="30"/>
  <c r="J34" i="30"/>
  <c r="J35" i="30"/>
  <c r="L26" i="30"/>
  <c r="L27" i="30"/>
  <c r="L28" i="30"/>
  <c r="L29" i="30"/>
  <c r="L30" i="30"/>
  <c r="L31" i="30"/>
  <c r="L32" i="30"/>
  <c r="L33" i="30"/>
  <c r="L34" i="30"/>
  <c r="L35" i="30"/>
  <c r="D16" i="30"/>
  <c r="D17" i="30"/>
  <c r="D18" i="30"/>
  <c r="D19" i="30"/>
  <c r="D20" i="30"/>
  <c r="D21" i="30"/>
  <c r="D22" i="30"/>
  <c r="D23" i="30"/>
  <c r="D24" i="30"/>
  <c r="D25" i="30"/>
  <c r="E16" i="30"/>
  <c r="E17" i="30"/>
  <c r="E18" i="30"/>
  <c r="E19" i="30"/>
  <c r="E20" i="30"/>
  <c r="E21" i="30"/>
  <c r="E22" i="30"/>
  <c r="E23" i="30"/>
  <c r="E24" i="30"/>
  <c r="E25" i="30"/>
  <c r="F16" i="30"/>
  <c r="F17" i="30"/>
  <c r="F18" i="30"/>
  <c r="F19" i="30"/>
  <c r="F20" i="30"/>
  <c r="F21" i="30"/>
  <c r="F22" i="30"/>
  <c r="F23" i="30"/>
  <c r="F24" i="30"/>
  <c r="F25" i="30"/>
  <c r="I16" i="30"/>
  <c r="I17" i="30"/>
  <c r="I18" i="30"/>
  <c r="I19" i="30"/>
  <c r="I20" i="30"/>
  <c r="I21" i="30"/>
  <c r="I22" i="30"/>
  <c r="I23" i="30"/>
  <c r="I24" i="30"/>
  <c r="I25" i="30"/>
  <c r="J16" i="30"/>
  <c r="J17" i="30"/>
  <c r="J18" i="30"/>
  <c r="J19" i="30"/>
  <c r="J20" i="30"/>
  <c r="J21" i="30"/>
  <c r="J22" i="30"/>
  <c r="J23" i="30"/>
  <c r="J24" i="30"/>
  <c r="J25" i="30"/>
  <c r="L16" i="30"/>
  <c r="L17" i="30"/>
  <c r="L18" i="30"/>
  <c r="L19" i="30"/>
  <c r="L20" i="30"/>
  <c r="L21" i="30"/>
  <c r="L22" i="30"/>
  <c r="L23" i="30"/>
  <c r="L24" i="30"/>
  <c r="L25" i="30"/>
  <c r="A1" i="30"/>
  <c r="B16" i="30"/>
  <c r="B17" i="30"/>
  <c r="B18" i="30"/>
  <c r="B19" i="30"/>
  <c r="B20" i="30"/>
  <c r="B21" i="30"/>
  <c r="B22" i="30"/>
  <c r="B23" i="30"/>
  <c r="B24" i="30"/>
  <c r="B25" i="30"/>
  <c r="B26" i="30"/>
  <c r="B27" i="30"/>
  <c r="B28" i="30"/>
  <c r="B29" i="30"/>
  <c r="B30" i="30"/>
  <c r="B31" i="30"/>
  <c r="B32" i="30"/>
  <c r="B33" i="30"/>
  <c r="B34" i="30"/>
  <c r="B35" i="30"/>
  <c r="B36" i="30"/>
  <c r="B37" i="30"/>
  <c r="B38" i="30"/>
  <c r="B39" i="30"/>
  <c r="B40" i="30"/>
  <c r="B41" i="30"/>
  <c r="B42" i="30"/>
  <c r="B43" i="30"/>
  <c r="B44" i="30"/>
  <c r="B45" i="30"/>
  <c r="B46" i="30"/>
  <c r="B47" i="30"/>
  <c r="B48" i="30"/>
  <c r="B49" i="30"/>
  <c r="B50" i="30"/>
  <c r="B51" i="30"/>
  <c r="B52" i="30"/>
  <c r="B53" i="30"/>
  <c r="B54" i="30"/>
  <c r="B55" i="30"/>
  <c r="B56" i="30"/>
  <c r="C16" i="30"/>
  <c r="C17" i="30"/>
  <c r="C18" i="30"/>
  <c r="C19" i="30"/>
  <c r="C20" i="30"/>
  <c r="C21" i="30"/>
  <c r="C22" i="30"/>
  <c r="C23" i="30"/>
  <c r="C24" i="30"/>
  <c r="C25" i="30"/>
  <c r="C26" i="30"/>
  <c r="C27" i="30"/>
  <c r="C28" i="30"/>
  <c r="C29" i="30"/>
  <c r="C30" i="30"/>
  <c r="C31" i="30"/>
  <c r="C32" i="30"/>
  <c r="C33" i="30"/>
  <c r="C34" i="30"/>
  <c r="C35" i="30"/>
  <c r="C36" i="30"/>
  <c r="C37" i="30"/>
  <c r="C38" i="30"/>
  <c r="C39" i="30"/>
  <c r="C40" i="30"/>
  <c r="C41" i="30"/>
  <c r="C42" i="30"/>
  <c r="C43" i="30"/>
  <c r="C44" i="30"/>
  <c r="C45" i="30"/>
  <c r="C46" i="30"/>
  <c r="C47" i="30"/>
  <c r="C48" i="30"/>
  <c r="C49" i="30"/>
  <c r="C50" i="30"/>
  <c r="C51" i="30"/>
  <c r="C52" i="30"/>
  <c r="C53" i="30"/>
  <c r="C54" i="30"/>
  <c r="C55" i="30"/>
  <c r="C56" i="30"/>
  <c r="C65" i="30" s="1"/>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65" i="30" s="1"/>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K16" i="30"/>
  <c r="K17" i="30"/>
  <c r="K18" i="30"/>
  <c r="K19" i="30"/>
  <c r="K20" i="30"/>
  <c r="K21" i="30"/>
  <c r="K22" i="30"/>
  <c r="K23" i="30"/>
  <c r="K24" i="30"/>
  <c r="K25" i="30"/>
  <c r="K26" i="30"/>
  <c r="K27" i="30"/>
  <c r="K28" i="30"/>
  <c r="K29" i="30"/>
  <c r="K30" i="30"/>
  <c r="K31" i="30"/>
  <c r="K32" i="30"/>
  <c r="K33" i="30"/>
  <c r="K34" i="30"/>
  <c r="K35" i="30"/>
  <c r="K36" i="30"/>
  <c r="K37" i="30"/>
  <c r="K38" i="30"/>
  <c r="K39" i="30"/>
  <c r="K40" i="30"/>
  <c r="K41" i="30"/>
  <c r="K42" i="30"/>
  <c r="K43" i="30"/>
  <c r="K44" i="30"/>
  <c r="K45" i="30"/>
  <c r="K46" i="30"/>
  <c r="K47" i="30"/>
  <c r="K48" i="30"/>
  <c r="K49" i="30"/>
  <c r="K50" i="30"/>
  <c r="K51" i="30"/>
  <c r="K52" i="30"/>
  <c r="K53" i="30"/>
  <c r="K54" i="30"/>
  <c r="K55" i="30"/>
  <c r="K56" i="30"/>
  <c r="K65" i="30" s="1"/>
  <c r="M16" i="30"/>
  <c r="M17" i="30"/>
  <c r="M18" i="30"/>
  <c r="M19" i="30"/>
  <c r="M20" i="30"/>
  <c r="M21" i="30"/>
  <c r="M22" i="30"/>
  <c r="M23" i="30"/>
  <c r="M24" i="30"/>
  <c r="M25" i="30"/>
  <c r="M26" i="30"/>
  <c r="M27" i="30"/>
  <c r="M28" i="30"/>
  <c r="M29" i="30"/>
  <c r="M30" i="30"/>
  <c r="M31" i="30"/>
  <c r="M32" i="30"/>
  <c r="M33" i="30"/>
  <c r="M34" i="30"/>
  <c r="M35" i="30"/>
  <c r="M36" i="30"/>
  <c r="M37" i="30"/>
  <c r="M38" i="30"/>
  <c r="M39" i="30"/>
  <c r="M40" i="30"/>
  <c r="M41" i="30"/>
  <c r="M42" i="30"/>
  <c r="M43" i="30"/>
  <c r="M44" i="30"/>
  <c r="M45" i="30"/>
  <c r="M46" i="30"/>
  <c r="M47" i="30"/>
  <c r="M48" i="30"/>
  <c r="M49" i="30"/>
  <c r="M50" i="30"/>
  <c r="M51" i="30"/>
  <c r="M52" i="30"/>
  <c r="M53" i="30"/>
  <c r="M54" i="30"/>
  <c r="M55" i="30"/>
  <c r="M56" i="30"/>
  <c r="M65" i="30" s="1"/>
  <c r="N16" i="30"/>
  <c r="N17" i="30"/>
  <c r="N18" i="30"/>
  <c r="N19" i="30"/>
  <c r="N20" i="30"/>
  <c r="N21" i="30"/>
  <c r="N22" i="30"/>
  <c r="N23" i="30"/>
  <c r="N24" i="30"/>
  <c r="N25" i="30"/>
  <c r="N26" i="30"/>
  <c r="N27" i="30"/>
  <c r="N28" i="30"/>
  <c r="N29" i="30"/>
  <c r="N30" i="30"/>
  <c r="N31" i="30"/>
  <c r="N32" i="30"/>
  <c r="N33" i="30"/>
  <c r="N34" i="30"/>
  <c r="N35" i="30"/>
  <c r="N36" i="30"/>
  <c r="N37" i="30"/>
  <c r="N38" i="30"/>
  <c r="N39" i="30"/>
  <c r="N40" i="30"/>
  <c r="N41" i="30"/>
  <c r="N42" i="30"/>
  <c r="N43" i="30"/>
  <c r="N44" i="30"/>
  <c r="N45" i="30"/>
  <c r="N46" i="30"/>
  <c r="N47" i="30"/>
  <c r="N48" i="30"/>
  <c r="N49" i="30"/>
  <c r="N50" i="30"/>
  <c r="N51" i="30"/>
  <c r="N52" i="30"/>
  <c r="N53" i="30"/>
  <c r="N54" i="30"/>
  <c r="N55" i="30"/>
  <c r="N56" i="30"/>
  <c r="N65" i="30" s="1"/>
  <c r="O16" i="30"/>
  <c r="O17" i="30"/>
  <c r="O18" i="30"/>
  <c r="O19" i="30"/>
  <c r="O20" i="30"/>
  <c r="O21" i="30"/>
  <c r="O22" i="30"/>
  <c r="O23" i="30"/>
  <c r="O24" i="30"/>
  <c r="O25" i="30"/>
  <c r="O26" i="30"/>
  <c r="O27" i="30"/>
  <c r="O28" i="30"/>
  <c r="O29" i="30"/>
  <c r="O30" i="30"/>
  <c r="O31" i="30"/>
  <c r="O32" i="30"/>
  <c r="O33" i="30"/>
  <c r="O34" i="30"/>
  <c r="O35" i="30"/>
  <c r="O36" i="30"/>
  <c r="O37" i="30"/>
  <c r="O38" i="30"/>
  <c r="O39" i="30"/>
  <c r="O40" i="30"/>
  <c r="O41" i="30"/>
  <c r="O42" i="30"/>
  <c r="O43" i="30"/>
  <c r="O44" i="30"/>
  <c r="O45" i="30"/>
  <c r="O46" i="30"/>
  <c r="O47" i="30"/>
  <c r="O48" i="30"/>
  <c r="O49" i="30"/>
  <c r="O50" i="30"/>
  <c r="O51" i="30"/>
  <c r="O52" i="30"/>
  <c r="O53" i="30"/>
  <c r="O54" i="30"/>
  <c r="O55" i="30"/>
  <c r="O56" i="30"/>
  <c r="O65" i="30" s="1"/>
  <c r="P16" i="30"/>
  <c r="P17" i="30"/>
  <c r="P18" i="30"/>
  <c r="P19" i="30"/>
  <c r="P20" i="30"/>
  <c r="P21" i="30"/>
  <c r="P22" i="30"/>
  <c r="P23" i="30"/>
  <c r="P24" i="30"/>
  <c r="P25" i="30"/>
  <c r="P26" i="30"/>
  <c r="P27" i="30"/>
  <c r="P28" i="30"/>
  <c r="P29" i="30"/>
  <c r="P30" i="30"/>
  <c r="P31" i="30"/>
  <c r="P32" i="30"/>
  <c r="P33" i="30"/>
  <c r="P34" i="30"/>
  <c r="P35" i="30"/>
  <c r="P36" i="30"/>
  <c r="P37" i="30"/>
  <c r="P38" i="30"/>
  <c r="P39" i="30"/>
  <c r="P40" i="30"/>
  <c r="P41" i="30"/>
  <c r="P42" i="30"/>
  <c r="P43" i="30"/>
  <c r="P44" i="30"/>
  <c r="P45" i="30"/>
  <c r="P46" i="30"/>
  <c r="P47" i="30"/>
  <c r="P48" i="30"/>
  <c r="P49" i="30"/>
  <c r="P50" i="30"/>
  <c r="P51" i="30"/>
  <c r="P52" i="30"/>
  <c r="P53" i="30"/>
  <c r="P54" i="30"/>
  <c r="P55" i="30"/>
  <c r="P56" i="30"/>
  <c r="P65" i="30" s="1"/>
  <c r="B13" i="30"/>
  <c r="C13" i="30"/>
  <c r="D13" i="30"/>
  <c r="E13" i="30"/>
  <c r="F13" i="30"/>
  <c r="G13" i="30"/>
  <c r="H13" i="30"/>
  <c r="I13" i="30"/>
  <c r="J13" i="30"/>
  <c r="K13" i="30"/>
  <c r="L13" i="30"/>
  <c r="M13" i="30"/>
  <c r="N13" i="30"/>
  <c r="O13" i="30"/>
  <c r="P13" i="30"/>
  <c r="B14" i="30"/>
  <c r="C14" i="30"/>
  <c r="D14" i="30"/>
  <c r="E14" i="30"/>
  <c r="F14" i="30"/>
  <c r="G14" i="30"/>
  <c r="H14" i="30"/>
  <c r="I14" i="30"/>
  <c r="J14" i="30"/>
  <c r="K14" i="30"/>
  <c r="L14" i="30"/>
  <c r="M14" i="30"/>
  <c r="N14" i="30"/>
  <c r="O14" i="30"/>
  <c r="P14" i="30"/>
  <c r="B15" i="30"/>
  <c r="C15" i="30"/>
  <c r="D15" i="30"/>
  <c r="E15" i="30"/>
  <c r="F15" i="30"/>
  <c r="G15" i="30"/>
  <c r="H15" i="30"/>
  <c r="I15" i="30"/>
  <c r="J15" i="30"/>
  <c r="K15" i="30"/>
  <c r="L15" i="30"/>
  <c r="M15" i="30"/>
  <c r="N15" i="30"/>
  <c r="O15" i="30"/>
  <c r="P15" i="30"/>
  <c r="B12" i="30"/>
  <c r="C12" i="30"/>
  <c r="D12" i="30"/>
  <c r="E12" i="30"/>
  <c r="F12" i="30"/>
  <c r="G12" i="30"/>
  <c r="H12" i="30"/>
  <c r="I12" i="30"/>
  <c r="J12" i="30"/>
  <c r="K12" i="30"/>
  <c r="L12" i="30"/>
  <c r="M12" i="30"/>
  <c r="N12" i="30"/>
  <c r="O12" i="30"/>
  <c r="P12" i="30"/>
  <c r="K11" i="30"/>
  <c r="L11" i="30"/>
  <c r="M11" i="30"/>
  <c r="H10" i="30"/>
  <c r="I10" i="30"/>
  <c r="J10" i="30"/>
  <c r="H11" i="30"/>
  <c r="I11" i="30"/>
  <c r="J11" i="30"/>
  <c r="E9" i="30"/>
  <c r="F9" i="30"/>
  <c r="G9" i="30"/>
  <c r="E10" i="30"/>
  <c r="F10" i="30"/>
  <c r="G10" i="30"/>
  <c r="E11" i="30"/>
  <c r="F11" i="30"/>
  <c r="G11" i="30"/>
  <c r="D8" i="30"/>
  <c r="D9" i="30"/>
  <c r="D10" i="30"/>
  <c r="D11" i="30"/>
  <c r="C8" i="30"/>
  <c r="C9" i="30"/>
  <c r="C10" i="30"/>
  <c r="C11" i="30"/>
  <c r="B8" i="30"/>
  <c r="B9" i="30"/>
  <c r="B10" i="30"/>
  <c r="B11" i="30"/>
  <c r="C16" i="29"/>
  <c r="E16" i="29"/>
  <c r="C15" i="29"/>
  <c r="C14" i="29"/>
  <c r="C13" i="29"/>
  <c r="C12" i="29"/>
  <c r="E13" i="29"/>
  <c r="E14" i="29"/>
  <c r="E15" i="29"/>
  <c r="E12" i="29"/>
  <c r="A4" i="29"/>
  <c r="D9" i="3"/>
  <c r="D64" i="3" s="1"/>
  <c r="D10" i="3"/>
  <c r="F10" i="3" s="1"/>
  <c r="D11" i="3"/>
  <c r="E11" i="3" s="1"/>
  <c r="D12" i="3"/>
  <c r="D67" i="3" s="1"/>
  <c r="D13" i="3"/>
  <c r="G13" i="3" s="1"/>
  <c r="D14" i="3"/>
  <c r="H14" i="3" s="1"/>
  <c r="D15" i="3"/>
  <c r="G15" i="3" s="1"/>
  <c r="D16" i="3"/>
  <c r="D17" i="3"/>
  <c r="H17" i="3" s="1"/>
  <c r="D18" i="3"/>
  <c r="H18" i="3" s="1"/>
  <c r="D19" i="3"/>
  <c r="G19" i="3" s="1"/>
  <c r="D20" i="3"/>
  <c r="D75" i="3" s="1"/>
  <c r="D21" i="3"/>
  <c r="D22" i="3"/>
  <c r="H22" i="3" s="1"/>
  <c r="D23" i="3"/>
  <c r="D78" i="3" s="1"/>
  <c r="D24" i="3"/>
  <c r="G24" i="3" s="1"/>
  <c r="D25" i="3"/>
  <c r="F25" i="3" s="1"/>
  <c r="D26" i="3"/>
  <c r="H26" i="3" s="1"/>
  <c r="D27" i="3"/>
  <c r="D82" i="3" s="1"/>
  <c r="D28" i="3"/>
  <c r="D83" i="3" s="1"/>
  <c r="D29" i="3"/>
  <c r="D84" i="3" s="1"/>
  <c r="D30" i="3"/>
  <c r="D85" i="3" s="1"/>
  <c r="D31" i="3"/>
  <c r="D32" i="3"/>
  <c r="F32" i="3" s="1"/>
  <c r="D33" i="3"/>
  <c r="G33" i="3" s="1"/>
  <c r="D34" i="3"/>
  <c r="G34" i="3" s="1"/>
  <c r="D35" i="3"/>
  <c r="F35" i="3" s="1"/>
  <c r="K46" i="5"/>
  <c r="N46" i="5" s="1"/>
  <c r="O46" i="5" s="1"/>
  <c r="K47" i="5"/>
  <c r="K48" i="5"/>
  <c r="O49" i="23" s="1"/>
  <c r="K49" i="5"/>
  <c r="K50" i="5"/>
  <c r="O51" i="23" s="1"/>
  <c r="K51" i="5"/>
  <c r="O52" i="23" s="1"/>
  <c r="K52" i="5"/>
  <c r="O53" i="23" s="1"/>
  <c r="E47" i="5"/>
  <c r="E48" i="5"/>
  <c r="F48" i="5" s="1"/>
  <c r="C49" i="9" s="1"/>
  <c r="E49" i="5"/>
  <c r="E50" i="5"/>
  <c r="E51" i="5"/>
  <c r="E52" i="5"/>
  <c r="F52" i="5" s="1"/>
  <c r="C53" i="9" s="1"/>
  <c r="E53" i="5"/>
  <c r="AN53" i="5" s="1"/>
  <c r="AG44" i="5"/>
  <c r="AH44" i="5" s="1"/>
  <c r="AI44" i="5" s="1"/>
  <c r="AG45" i="5"/>
  <c r="AH45" i="5" s="1"/>
  <c r="D49" i="17" s="1"/>
  <c r="N49" i="17" s="1"/>
  <c r="O49" i="17" s="1"/>
  <c r="AG46" i="5"/>
  <c r="AH46" i="5" s="1"/>
  <c r="D50" i="17" s="1"/>
  <c r="S50" i="17" s="1"/>
  <c r="T50" i="17" s="1"/>
  <c r="AG47" i="5"/>
  <c r="AH47" i="5" s="1"/>
  <c r="AI47" i="5" s="1"/>
  <c r="AG48" i="5"/>
  <c r="AH48" i="5" s="1"/>
  <c r="AG49" i="5"/>
  <c r="AH49" i="5" s="1"/>
  <c r="AG50" i="5"/>
  <c r="V9" i="25"/>
  <c r="C25" i="28"/>
  <c r="C26" i="28"/>
  <c r="C27" i="28"/>
  <c r="C28" i="28"/>
  <c r="C29" i="28"/>
  <c r="C30" i="28"/>
  <c r="B26" i="28"/>
  <c r="B27" i="28"/>
  <c r="B28" i="28"/>
  <c r="B29" i="28"/>
  <c r="B30" i="28"/>
  <c r="B25" i="28"/>
  <c r="A10" i="28"/>
  <c r="A26" i="28" s="1"/>
  <c r="A11" i="28"/>
  <c r="A27" i="28" s="1"/>
  <c r="A12" i="28"/>
  <c r="A28" i="28" s="1"/>
  <c r="A13" i="28"/>
  <c r="A29" i="28" s="1"/>
  <c r="A14" i="28"/>
  <c r="A30" i="28" s="1"/>
  <c r="A9" i="28"/>
  <c r="A25" i="28" s="1"/>
  <c r="A20" i="28"/>
  <c r="A19" i="28"/>
  <c r="D10" i="28"/>
  <c r="D26" i="28" s="1"/>
  <c r="G31" i="2"/>
  <c r="P12" i="5"/>
  <c r="P13" i="23" s="1"/>
  <c r="P13" i="5"/>
  <c r="C17" i="12" s="1"/>
  <c r="W17" i="12" s="1"/>
  <c r="P14" i="5"/>
  <c r="B10" i="33" s="1"/>
  <c r="P15" i="5"/>
  <c r="P16" i="23" s="1"/>
  <c r="P16" i="5"/>
  <c r="B12" i="33" s="1"/>
  <c r="P17" i="5"/>
  <c r="P18" i="5"/>
  <c r="C22" i="12" s="1"/>
  <c r="W22" i="12" s="1"/>
  <c r="P19" i="5"/>
  <c r="P20" i="5"/>
  <c r="B16" i="33" s="1"/>
  <c r="P21" i="5"/>
  <c r="C25" i="12" s="1"/>
  <c r="V25" i="12" s="1"/>
  <c r="P22" i="5"/>
  <c r="P23" i="23" s="1"/>
  <c r="P23" i="5"/>
  <c r="P24" i="23" s="1"/>
  <c r="P24" i="5"/>
  <c r="B20" i="33" s="1"/>
  <c r="P25" i="5"/>
  <c r="C29" i="12" s="1"/>
  <c r="V29" i="12" s="1"/>
  <c r="P26" i="5"/>
  <c r="P27" i="5"/>
  <c r="P28" i="5"/>
  <c r="B24" i="33" s="1"/>
  <c r="P29" i="5"/>
  <c r="B25" i="33" s="1"/>
  <c r="P30" i="5"/>
  <c r="P31" i="23" s="1"/>
  <c r="P31" i="5"/>
  <c r="P32" i="23" s="1"/>
  <c r="P32" i="5"/>
  <c r="B28" i="33" s="1"/>
  <c r="P33" i="5"/>
  <c r="C37" i="12" s="1"/>
  <c r="V37" i="12" s="1"/>
  <c r="P34" i="5"/>
  <c r="C38" i="12" s="1"/>
  <c r="V38" i="12" s="1"/>
  <c r="P35" i="5"/>
  <c r="P36" i="5"/>
  <c r="P37" i="5"/>
  <c r="B33" i="33" s="1"/>
  <c r="P38" i="5"/>
  <c r="P39" i="23" s="1"/>
  <c r="P39" i="5"/>
  <c r="C43" i="12" s="1"/>
  <c r="W43" i="12" s="1"/>
  <c r="P40" i="5"/>
  <c r="B36" i="33" s="1"/>
  <c r="P41" i="5"/>
  <c r="C45" i="12" s="1"/>
  <c r="W45" i="12" s="1"/>
  <c r="P42" i="5"/>
  <c r="C46" i="12" s="1"/>
  <c r="V46" i="12" s="1"/>
  <c r="P43" i="5"/>
  <c r="B39" i="33" s="1"/>
  <c r="P44" i="5"/>
  <c r="P45" i="23" s="1"/>
  <c r="P45" i="5"/>
  <c r="C49" i="12" s="1"/>
  <c r="W49" i="12" s="1"/>
  <c r="P46" i="5"/>
  <c r="P47" i="23" s="1"/>
  <c r="P47" i="5"/>
  <c r="B43" i="33" s="1"/>
  <c r="P48" i="5"/>
  <c r="P49" i="5"/>
  <c r="P50" i="5"/>
  <c r="B46" i="33" s="1"/>
  <c r="P51" i="5"/>
  <c r="P52" i="5"/>
  <c r="V9" i="5"/>
  <c r="W9" i="5" s="1"/>
  <c r="V10" i="5"/>
  <c r="W10" i="5" s="1"/>
  <c r="D14" i="11" s="1"/>
  <c r="N14" i="11" s="1"/>
  <c r="O14" i="11" s="1"/>
  <c r="V11" i="5"/>
  <c r="R12" i="23" s="1"/>
  <c r="V12" i="5"/>
  <c r="W12" i="5" s="1"/>
  <c r="X12" i="5" s="1"/>
  <c r="V13" i="5"/>
  <c r="V14" i="5"/>
  <c r="R15" i="23" s="1"/>
  <c r="V15" i="5"/>
  <c r="V16" i="5"/>
  <c r="W16" i="5" s="1"/>
  <c r="V17" i="5"/>
  <c r="R18" i="23" s="1"/>
  <c r="V18" i="5"/>
  <c r="V19" i="5"/>
  <c r="W19" i="5" s="1"/>
  <c r="V20" i="5"/>
  <c r="W20" i="5" s="1"/>
  <c r="X20" i="5" s="1"/>
  <c r="V21" i="5"/>
  <c r="V22" i="5"/>
  <c r="R23" i="23" s="1"/>
  <c r="V23" i="5"/>
  <c r="D27" i="12" s="1"/>
  <c r="N27" i="12" s="1"/>
  <c r="O27" i="12" s="1"/>
  <c r="V24" i="5"/>
  <c r="W24" i="5" s="1"/>
  <c r="X24" i="5" s="1"/>
  <c r="V25" i="5"/>
  <c r="R26" i="23" s="1"/>
  <c r="V26" i="5"/>
  <c r="R27" i="23" s="1"/>
  <c r="V27" i="5"/>
  <c r="W27" i="5" s="1"/>
  <c r="X27" i="5" s="1"/>
  <c r="V28" i="5"/>
  <c r="V29" i="5"/>
  <c r="W29" i="5" s="1"/>
  <c r="V30" i="5"/>
  <c r="W30" i="5" s="1"/>
  <c r="V31" i="5"/>
  <c r="V32" i="5"/>
  <c r="V33" i="5"/>
  <c r="R34" i="23" s="1"/>
  <c r="V34" i="5"/>
  <c r="D38" i="12" s="1"/>
  <c r="V35" i="5"/>
  <c r="R36" i="23" s="1"/>
  <c r="V36" i="5"/>
  <c r="V37" i="5"/>
  <c r="W37" i="5" s="1"/>
  <c r="X37" i="5" s="1"/>
  <c r="V38" i="5"/>
  <c r="R39" i="23" s="1"/>
  <c r="V39" i="5"/>
  <c r="V40" i="5"/>
  <c r="D44" i="24" s="1"/>
  <c r="N44" i="24" s="1"/>
  <c r="O44" i="24" s="1"/>
  <c r="V41" i="5"/>
  <c r="V42" i="5"/>
  <c r="D46" i="12" s="1"/>
  <c r="N46" i="12" s="1"/>
  <c r="O46" i="12" s="1"/>
  <c r="V43" i="5"/>
  <c r="V44" i="5"/>
  <c r="R45" i="23" s="1"/>
  <c r="V45" i="5"/>
  <c r="W45" i="5" s="1"/>
  <c r="V46" i="5"/>
  <c r="D50" i="12" s="1"/>
  <c r="V47" i="5"/>
  <c r="V48" i="5"/>
  <c r="D52" i="12" s="1"/>
  <c r="V49" i="5"/>
  <c r="D53" i="24" s="1"/>
  <c r="V50" i="5"/>
  <c r="D54" i="12" s="1"/>
  <c r="V51" i="5"/>
  <c r="AA9" i="5"/>
  <c r="AB9" i="5" s="1"/>
  <c r="AC9" i="5" s="1"/>
  <c r="AA10" i="5"/>
  <c r="AB10" i="5" s="1"/>
  <c r="D14" i="14" s="1"/>
  <c r="AB14" i="14" s="1"/>
  <c r="AA11" i="5"/>
  <c r="AA12" i="5"/>
  <c r="AA13" i="5"/>
  <c r="AB13" i="5" s="1"/>
  <c r="AA14" i="5"/>
  <c r="AB14" i="5" s="1"/>
  <c r="D18" i="14" s="1"/>
  <c r="AB18" i="14" s="1"/>
  <c r="AA15" i="5"/>
  <c r="AA16" i="5"/>
  <c r="AB16" i="5" s="1"/>
  <c r="AA17" i="5"/>
  <c r="AA18" i="5"/>
  <c r="AB18" i="5" s="1"/>
  <c r="D22" i="14" s="1"/>
  <c r="AB22" i="14" s="1"/>
  <c r="AA19" i="5"/>
  <c r="AA20" i="5"/>
  <c r="AA21" i="5"/>
  <c r="AB21" i="5" s="1"/>
  <c r="AA22" i="5"/>
  <c r="AB22" i="5" s="1"/>
  <c r="D26" i="14" s="1"/>
  <c r="AB26" i="14" s="1"/>
  <c r="AA23" i="5"/>
  <c r="AA24" i="5"/>
  <c r="AB24" i="5" s="1"/>
  <c r="AA25" i="5"/>
  <c r="AA26" i="5"/>
  <c r="AB26" i="5" s="1"/>
  <c r="D30" i="14" s="1"/>
  <c r="AB30" i="14" s="1"/>
  <c r="AA27" i="5"/>
  <c r="AB27" i="5" s="1"/>
  <c r="D31" i="15" s="1"/>
  <c r="AB31" i="15" s="1"/>
  <c r="AA28" i="5"/>
  <c r="AA29" i="5"/>
  <c r="AB29" i="5" s="1"/>
  <c r="AA30" i="5"/>
  <c r="AB30" i="5" s="1"/>
  <c r="D34" i="14" s="1"/>
  <c r="AA31" i="5"/>
  <c r="AA32" i="5"/>
  <c r="AB32" i="5" s="1"/>
  <c r="AA33" i="5"/>
  <c r="AB33" i="5" s="1"/>
  <c r="AA34" i="5"/>
  <c r="AB34" i="5" s="1"/>
  <c r="D38" i="14" s="1"/>
  <c r="AA35" i="5"/>
  <c r="AA36" i="5"/>
  <c r="AA37" i="5"/>
  <c r="AA38" i="5"/>
  <c r="AB38" i="5" s="1"/>
  <c r="D42" i="14" s="1"/>
  <c r="AA39" i="5"/>
  <c r="S40" i="23" s="1"/>
  <c r="AA40" i="5"/>
  <c r="AB40" i="5" s="1"/>
  <c r="D44" i="15" s="1"/>
  <c r="N44" i="15" s="1"/>
  <c r="O44" i="15" s="1"/>
  <c r="AA41" i="5"/>
  <c r="AA42" i="5"/>
  <c r="AB42" i="5" s="1"/>
  <c r="D46" i="15" s="1"/>
  <c r="N46" i="15" s="1"/>
  <c r="O46" i="15" s="1"/>
  <c r="AA43" i="5"/>
  <c r="AA44" i="5"/>
  <c r="AA45" i="5"/>
  <c r="AB45" i="5" s="1"/>
  <c r="AC45" i="5" s="1"/>
  <c r="AA46" i="5"/>
  <c r="AB46" i="5" s="1"/>
  <c r="D50" i="15" s="1"/>
  <c r="N50" i="15" s="1"/>
  <c r="O50" i="15" s="1"/>
  <c r="AA47" i="5"/>
  <c r="AB47" i="5" s="1"/>
  <c r="AC47" i="5" s="1"/>
  <c r="AA48" i="5"/>
  <c r="S49" i="23" s="1"/>
  <c r="AA49" i="5"/>
  <c r="AB49" i="5" s="1"/>
  <c r="AC49" i="5" s="1"/>
  <c r="AA50" i="5"/>
  <c r="AA51" i="5"/>
  <c r="E9" i="5"/>
  <c r="E10" i="5"/>
  <c r="F10" i="5" s="1"/>
  <c r="G10" i="5" s="1"/>
  <c r="E11" i="5"/>
  <c r="F11" i="5" s="1"/>
  <c r="G11" i="5" s="1"/>
  <c r="E12" i="5"/>
  <c r="F12" i="5" s="1"/>
  <c r="E13" i="5"/>
  <c r="F13" i="5" s="1"/>
  <c r="E14" i="5"/>
  <c r="F14" i="5" s="1"/>
  <c r="E15" i="5"/>
  <c r="F15" i="5" s="1"/>
  <c r="E16" i="5"/>
  <c r="F16" i="5" s="1"/>
  <c r="E17" i="5"/>
  <c r="E18" i="5"/>
  <c r="F18" i="5" s="1"/>
  <c r="E19" i="5"/>
  <c r="F19" i="5" s="1"/>
  <c r="E20" i="5"/>
  <c r="F20" i="5" s="1"/>
  <c r="E21" i="5"/>
  <c r="F21" i="5" s="1"/>
  <c r="E22" i="5"/>
  <c r="H22" i="5" s="1"/>
  <c r="I22" i="5" s="1"/>
  <c r="E23" i="5"/>
  <c r="F23" i="5" s="1"/>
  <c r="E24" i="5"/>
  <c r="E25" i="5"/>
  <c r="E26" i="5"/>
  <c r="F26" i="5" s="1"/>
  <c r="E27" i="5"/>
  <c r="F27" i="5" s="1"/>
  <c r="E28" i="5"/>
  <c r="F28" i="5" s="1"/>
  <c r="E29" i="5"/>
  <c r="F29" i="5" s="1"/>
  <c r="E30" i="5"/>
  <c r="F30" i="5" s="1"/>
  <c r="E31" i="5"/>
  <c r="F31" i="5" s="1"/>
  <c r="E32" i="5"/>
  <c r="F32" i="5" s="1"/>
  <c r="E33" i="5"/>
  <c r="E34" i="5"/>
  <c r="F34" i="5" s="1"/>
  <c r="E35" i="5"/>
  <c r="F35" i="5" s="1"/>
  <c r="E36" i="5"/>
  <c r="F36" i="5" s="1"/>
  <c r="E37" i="5"/>
  <c r="F37" i="5" s="1"/>
  <c r="E38" i="5"/>
  <c r="H38" i="5" s="1"/>
  <c r="I38" i="5" s="1"/>
  <c r="E39" i="5"/>
  <c r="F39" i="5" s="1"/>
  <c r="E40" i="5"/>
  <c r="E41" i="5"/>
  <c r="F41" i="5" s="1"/>
  <c r="E42" i="5"/>
  <c r="F42" i="5" s="1"/>
  <c r="E43" i="5"/>
  <c r="E44" i="5"/>
  <c r="F44" i="5" s="1"/>
  <c r="E45" i="5"/>
  <c r="E46" i="5"/>
  <c r="F46" i="5" s="1"/>
  <c r="K8" i="5"/>
  <c r="K9" i="5"/>
  <c r="O10" i="23" s="1"/>
  <c r="K10" i="5"/>
  <c r="K11" i="5"/>
  <c r="O12" i="23" s="1"/>
  <c r="K12" i="5"/>
  <c r="K13" i="5"/>
  <c r="L13" i="5" s="1"/>
  <c r="K14" i="5"/>
  <c r="K15" i="5"/>
  <c r="K16" i="5"/>
  <c r="K17" i="5"/>
  <c r="O18" i="23" s="1"/>
  <c r="K18" i="5"/>
  <c r="K19" i="5"/>
  <c r="L19" i="5" s="1"/>
  <c r="K20" i="5"/>
  <c r="K21" i="5"/>
  <c r="L21" i="5" s="1"/>
  <c r="K22" i="5"/>
  <c r="K23" i="5"/>
  <c r="O24" i="23" s="1"/>
  <c r="K24" i="5"/>
  <c r="O25" i="23" s="1"/>
  <c r="K25" i="5"/>
  <c r="L25" i="5" s="1"/>
  <c r="K26" i="5"/>
  <c r="K27" i="5"/>
  <c r="L27" i="5" s="1"/>
  <c r="D26" i="19" s="1"/>
  <c r="N26" i="19" s="1"/>
  <c r="O26" i="19" s="1"/>
  <c r="K28" i="5"/>
  <c r="O29" i="23" s="1"/>
  <c r="K29" i="5"/>
  <c r="L29" i="5" s="1"/>
  <c r="K30" i="5"/>
  <c r="K31" i="5"/>
  <c r="L31" i="5" s="1"/>
  <c r="K32" i="5"/>
  <c r="K33" i="5"/>
  <c r="L33" i="5" s="1"/>
  <c r="K34" i="5"/>
  <c r="K35" i="5"/>
  <c r="L35" i="5" s="1"/>
  <c r="K36" i="5"/>
  <c r="K37" i="5"/>
  <c r="L37" i="5" s="1"/>
  <c r="K38" i="5"/>
  <c r="K39" i="5"/>
  <c r="L39" i="5" s="1"/>
  <c r="K40" i="5"/>
  <c r="O41" i="23" s="1"/>
  <c r="K41" i="5"/>
  <c r="L41" i="5" s="1"/>
  <c r="K42" i="5"/>
  <c r="K43" i="5"/>
  <c r="O44" i="23" s="1"/>
  <c r="K44" i="5"/>
  <c r="O45" i="23" s="1"/>
  <c r="K45" i="5"/>
  <c r="L45" i="5" s="1"/>
  <c r="AG8" i="5"/>
  <c r="AG9" i="5"/>
  <c r="AH9" i="5" s="1"/>
  <c r="AI9" i="5" s="1"/>
  <c r="AG10" i="5"/>
  <c r="AH10" i="5" s="1"/>
  <c r="AG11" i="5"/>
  <c r="AH11" i="5" s="1"/>
  <c r="AI11" i="5" s="1"/>
  <c r="AG12" i="5"/>
  <c r="AG13" i="5"/>
  <c r="AH13" i="5" s="1"/>
  <c r="AI13" i="5" s="1"/>
  <c r="AG14" i="5"/>
  <c r="AG15" i="5"/>
  <c r="AG16" i="5"/>
  <c r="AG17" i="5"/>
  <c r="AG18" i="5"/>
  <c r="AG19" i="5"/>
  <c r="AH19" i="5" s="1"/>
  <c r="AI19" i="5" s="1"/>
  <c r="AG20" i="5"/>
  <c r="AG21" i="5"/>
  <c r="AH21" i="5" s="1"/>
  <c r="AG22" i="5"/>
  <c r="AG23" i="5"/>
  <c r="AG24" i="5"/>
  <c r="AG25" i="5"/>
  <c r="AH25" i="5" s="1"/>
  <c r="AI25" i="5" s="1"/>
  <c r="AG26" i="5"/>
  <c r="AG27" i="5"/>
  <c r="AH27" i="5" s="1"/>
  <c r="AG28" i="5"/>
  <c r="AG29" i="5"/>
  <c r="AH29" i="5" s="1"/>
  <c r="D33" i="17" s="1"/>
  <c r="N33" i="17" s="1"/>
  <c r="O33" i="17" s="1"/>
  <c r="AG30" i="5"/>
  <c r="AG31" i="5"/>
  <c r="AH31" i="5" s="1"/>
  <c r="AI31" i="5" s="1"/>
  <c r="AG32" i="5"/>
  <c r="AG33" i="5"/>
  <c r="AG34" i="5"/>
  <c r="AG35" i="5"/>
  <c r="AH35" i="5" s="1"/>
  <c r="AG36" i="5"/>
  <c r="AG37" i="5"/>
  <c r="AH37" i="5" s="1"/>
  <c r="AG38" i="5"/>
  <c r="AG39" i="5"/>
  <c r="AH39" i="5" s="1"/>
  <c r="AI39" i="5" s="1"/>
  <c r="AG40" i="5"/>
  <c r="AG41" i="5"/>
  <c r="AH41" i="5" s="1"/>
  <c r="AI41" i="5" s="1"/>
  <c r="AG42" i="5"/>
  <c r="AG43" i="5"/>
  <c r="D14" i="28"/>
  <c r="D30" i="28" s="1"/>
  <c r="D13" i="28"/>
  <c r="D29" i="28" s="1"/>
  <c r="D11" i="28"/>
  <c r="A1" i="28"/>
  <c r="P62" i="11"/>
  <c r="G53" i="2"/>
  <c r="G55" i="2" s="1"/>
  <c r="C133" i="3"/>
  <c r="D133" i="3"/>
  <c r="C134" i="3"/>
  <c r="D134" i="3"/>
  <c r="C89" i="3"/>
  <c r="C90" i="3"/>
  <c r="D60" i="12"/>
  <c r="N60" i="12" s="1"/>
  <c r="B51" i="5"/>
  <c r="D60" i="24"/>
  <c r="N60" i="24" s="1"/>
  <c r="B52" i="5"/>
  <c r="F67" i="4"/>
  <c r="E67" i="4"/>
  <c r="D67" i="4"/>
  <c r="C67" i="4"/>
  <c r="P60" i="9"/>
  <c r="U60" i="9" s="1"/>
  <c r="G14" i="2" s="1"/>
  <c r="F11" i="28" s="1"/>
  <c r="P62" i="15"/>
  <c r="U62" i="15" s="1"/>
  <c r="G21" i="2" s="1"/>
  <c r="F13" i="28" s="1"/>
  <c r="G32" i="2"/>
  <c r="G36" i="2"/>
  <c r="G43" i="2"/>
  <c r="G42" i="2"/>
  <c r="G40" i="2"/>
  <c r="P13" i="14"/>
  <c r="U13" i="14" s="1"/>
  <c r="P14" i="14"/>
  <c r="U14" i="14" s="1"/>
  <c r="P15" i="14"/>
  <c r="U15" i="14" s="1"/>
  <c r="P16" i="14"/>
  <c r="U16" i="14" s="1"/>
  <c r="P17" i="14"/>
  <c r="U17" i="14" s="1"/>
  <c r="P18" i="14"/>
  <c r="U18" i="14" s="1"/>
  <c r="P19" i="14"/>
  <c r="U19" i="14" s="1"/>
  <c r="P20" i="14"/>
  <c r="U20" i="14" s="1"/>
  <c r="P21" i="14"/>
  <c r="U21" i="14" s="1"/>
  <c r="P22" i="14"/>
  <c r="U22" i="14" s="1"/>
  <c r="P23" i="14"/>
  <c r="U23" i="14" s="1"/>
  <c r="P24" i="14"/>
  <c r="U24" i="14" s="1"/>
  <c r="P25" i="14"/>
  <c r="U25" i="14" s="1"/>
  <c r="P26" i="14"/>
  <c r="U26" i="14" s="1"/>
  <c r="P27" i="14"/>
  <c r="U27" i="14" s="1"/>
  <c r="P28" i="14"/>
  <c r="U28" i="14" s="1"/>
  <c r="P29" i="14"/>
  <c r="U29" i="14" s="1"/>
  <c r="P30" i="14"/>
  <c r="U30" i="14" s="1"/>
  <c r="P31" i="14"/>
  <c r="U31" i="14" s="1"/>
  <c r="P32" i="14"/>
  <c r="U32" i="14" s="1"/>
  <c r="P33" i="14"/>
  <c r="U33" i="14" s="1"/>
  <c r="P34" i="14"/>
  <c r="U34" i="14" s="1"/>
  <c r="P35" i="14"/>
  <c r="U35" i="14" s="1"/>
  <c r="P36" i="14"/>
  <c r="U36" i="14" s="1"/>
  <c r="P37" i="14"/>
  <c r="U37" i="14" s="1"/>
  <c r="P38" i="14"/>
  <c r="U38" i="14" s="1"/>
  <c r="P39" i="14"/>
  <c r="U39" i="14" s="1"/>
  <c r="P40" i="14"/>
  <c r="U40" i="14" s="1"/>
  <c r="P41" i="14"/>
  <c r="U41" i="14" s="1"/>
  <c r="P42" i="14"/>
  <c r="U42" i="14" s="1"/>
  <c r="P43" i="14"/>
  <c r="U43" i="14" s="1"/>
  <c r="P44" i="14"/>
  <c r="U44" i="14" s="1"/>
  <c r="P45" i="14"/>
  <c r="U45" i="14" s="1"/>
  <c r="P46" i="14"/>
  <c r="U46" i="14" s="1"/>
  <c r="P47" i="14"/>
  <c r="U47" i="14" s="1"/>
  <c r="P48" i="14"/>
  <c r="U48" i="14" s="1"/>
  <c r="P49" i="14"/>
  <c r="U49" i="14" s="1"/>
  <c r="P50" i="14"/>
  <c r="U50" i="14" s="1"/>
  <c r="P51" i="14"/>
  <c r="U51" i="14" s="1"/>
  <c r="P52" i="14"/>
  <c r="U52" i="14" s="1"/>
  <c r="P53" i="14"/>
  <c r="U53" i="14" s="1"/>
  <c r="P54" i="14"/>
  <c r="U54" i="14" s="1"/>
  <c r="P60" i="14"/>
  <c r="U60" i="14" s="1"/>
  <c r="P9" i="5"/>
  <c r="C13" i="12" s="1"/>
  <c r="B9" i="5"/>
  <c r="C9" i="5" s="1"/>
  <c r="AB13" i="8"/>
  <c r="P13" i="19"/>
  <c r="U13" i="19" s="1"/>
  <c r="P14" i="19"/>
  <c r="U14" i="19" s="1"/>
  <c r="P15" i="19"/>
  <c r="U15" i="19" s="1"/>
  <c r="P16" i="19"/>
  <c r="U16" i="19" s="1"/>
  <c r="P17" i="19"/>
  <c r="U17" i="19" s="1"/>
  <c r="P18" i="19"/>
  <c r="U18" i="19" s="1"/>
  <c r="P19" i="19"/>
  <c r="U19" i="19" s="1"/>
  <c r="P20" i="19"/>
  <c r="U20" i="19" s="1"/>
  <c r="P21" i="19"/>
  <c r="U21" i="19" s="1"/>
  <c r="P22" i="19"/>
  <c r="U22" i="19" s="1"/>
  <c r="P23" i="19"/>
  <c r="U23" i="19" s="1"/>
  <c r="P24" i="19"/>
  <c r="U24" i="19" s="1"/>
  <c r="P25" i="19"/>
  <c r="U25" i="19" s="1"/>
  <c r="P26" i="19"/>
  <c r="U26" i="19" s="1"/>
  <c r="P27" i="19"/>
  <c r="U27" i="19" s="1"/>
  <c r="P28" i="19"/>
  <c r="U28" i="19" s="1"/>
  <c r="P29" i="19"/>
  <c r="U29" i="19" s="1"/>
  <c r="P30" i="19"/>
  <c r="U30" i="19" s="1"/>
  <c r="P31" i="19"/>
  <c r="U31" i="19" s="1"/>
  <c r="P32" i="19"/>
  <c r="U32" i="19" s="1"/>
  <c r="P33" i="19"/>
  <c r="U33" i="19" s="1"/>
  <c r="P34" i="19"/>
  <c r="U34" i="19" s="1"/>
  <c r="P35" i="19"/>
  <c r="U35" i="19" s="1"/>
  <c r="P36" i="19"/>
  <c r="U36" i="19" s="1"/>
  <c r="P37" i="19"/>
  <c r="U37" i="19" s="1"/>
  <c r="P38" i="19"/>
  <c r="U38" i="19" s="1"/>
  <c r="P39" i="19"/>
  <c r="U39" i="19" s="1"/>
  <c r="P40" i="19"/>
  <c r="U40" i="19" s="1"/>
  <c r="P41" i="19"/>
  <c r="U41" i="19" s="1"/>
  <c r="P42" i="19"/>
  <c r="U42" i="19" s="1"/>
  <c r="P43" i="19"/>
  <c r="U43" i="19" s="1"/>
  <c r="P44" i="19"/>
  <c r="U44" i="19" s="1"/>
  <c r="P45" i="19"/>
  <c r="U45" i="19" s="1"/>
  <c r="P46" i="19"/>
  <c r="U46" i="19" s="1"/>
  <c r="P47" i="19"/>
  <c r="U47" i="19" s="1"/>
  <c r="P48" i="19"/>
  <c r="U48" i="19" s="1"/>
  <c r="P49" i="19"/>
  <c r="U49" i="19" s="1"/>
  <c r="P50" i="19"/>
  <c r="U50" i="19" s="1"/>
  <c r="P56" i="19"/>
  <c r="U56" i="19" s="1"/>
  <c r="F64" i="24"/>
  <c r="Q64" i="24" s="1"/>
  <c r="D13" i="24"/>
  <c r="N13" i="24" s="1"/>
  <c r="O13" i="24" s="1"/>
  <c r="C61" i="18"/>
  <c r="Z61" i="18" s="1"/>
  <c r="P13" i="13"/>
  <c r="U13" i="13" s="1"/>
  <c r="P14" i="13"/>
  <c r="U14" i="13" s="1"/>
  <c r="P15" i="13"/>
  <c r="U15" i="13" s="1"/>
  <c r="P16" i="13"/>
  <c r="U16" i="13" s="1"/>
  <c r="P17" i="13"/>
  <c r="U17" i="13" s="1"/>
  <c r="P18" i="13"/>
  <c r="U18" i="13" s="1"/>
  <c r="P19" i="13"/>
  <c r="U19" i="13" s="1"/>
  <c r="P20" i="13"/>
  <c r="U20" i="13" s="1"/>
  <c r="P21" i="13"/>
  <c r="U21" i="13" s="1"/>
  <c r="P22" i="13"/>
  <c r="U22" i="13" s="1"/>
  <c r="P23" i="13"/>
  <c r="U23" i="13" s="1"/>
  <c r="P24" i="13"/>
  <c r="U24" i="13" s="1"/>
  <c r="P25" i="13"/>
  <c r="U25" i="13" s="1"/>
  <c r="P26" i="13"/>
  <c r="U26" i="13" s="1"/>
  <c r="P27" i="13"/>
  <c r="U27" i="13" s="1"/>
  <c r="P28" i="13"/>
  <c r="U28" i="13" s="1"/>
  <c r="P29" i="13"/>
  <c r="U29" i="13" s="1"/>
  <c r="P30" i="13"/>
  <c r="U30" i="13" s="1"/>
  <c r="P31" i="13"/>
  <c r="U31" i="13" s="1"/>
  <c r="P32" i="13"/>
  <c r="U32" i="13" s="1"/>
  <c r="P33" i="13"/>
  <c r="U33" i="13" s="1"/>
  <c r="P34" i="13"/>
  <c r="U34" i="13" s="1"/>
  <c r="P35" i="13"/>
  <c r="U35" i="13" s="1"/>
  <c r="P36" i="13"/>
  <c r="U36" i="13" s="1"/>
  <c r="P37" i="13"/>
  <c r="U37" i="13" s="1"/>
  <c r="P38" i="13"/>
  <c r="U38" i="13" s="1"/>
  <c r="P39" i="13"/>
  <c r="U39" i="13" s="1"/>
  <c r="P40" i="13"/>
  <c r="U40" i="13" s="1"/>
  <c r="P41" i="13"/>
  <c r="U41" i="13" s="1"/>
  <c r="P42" i="13"/>
  <c r="U42" i="13" s="1"/>
  <c r="P43" i="13"/>
  <c r="U43" i="13" s="1"/>
  <c r="P44" i="13"/>
  <c r="U44" i="13" s="1"/>
  <c r="P45" i="13"/>
  <c r="U45" i="13" s="1"/>
  <c r="P46" i="13"/>
  <c r="U46" i="13" s="1"/>
  <c r="P47" i="13"/>
  <c r="U47" i="13" s="1"/>
  <c r="P48" i="13"/>
  <c r="U48" i="13" s="1"/>
  <c r="P49" i="13"/>
  <c r="U49" i="13" s="1"/>
  <c r="P50" i="13"/>
  <c r="U50" i="13" s="1"/>
  <c r="P51" i="13"/>
  <c r="U51" i="13" s="1"/>
  <c r="P52" i="13"/>
  <c r="U52" i="13" s="1"/>
  <c r="P53" i="13"/>
  <c r="U53" i="13" s="1"/>
  <c r="P54" i="13"/>
  <c r="U54" i="13" s="1"/>
  <c r="B10" i="5"/>
  <c r="C14" i="10" s="1"/>
  <c r="Z14" i="10" s="1"/>
  <c r="B11" i="5"/>
  <c r="B12" i="5"/>
  <c r="B13" i="5"/>
  <c r="C17" i="24" s="1"/>
  <c r="B14" i="5"/>
  <c r="B15" i="5"/>
  <c r="C19" i="24" s="1"/>
  <c r="U19" i="24" s="1"/>
  <c r="B16" i="5"/>
  <c r="C20" i="24" s="1"/>
  <c r="U20" i="24" s="1"/>
  <c r="B17" i="5"/>
  <c r="B18" i="5"/>
  <c r="C22" i="24" s="1"/>
  <c r="U22" i="24" s="1"/>
  <c r="B19" i="5"/>
  <c r="B20" i="5"/>
  <c r="C24" i="10" s="1"/>
  <c r="AA24" i="10" s="1"/>
  <c r="B21" i="5"/>
  <c r="B22" i="5"/>
  <c r="C26" i="24" s="1"/>
  <c r="U26" i="24" s="1"/>
  <c r="B23" i="5"/>
  <c r="C27" i="24" s="1"/>
  <c r="B24" i="5"/>
  <c r="C28" i="24" s="1"/>
  <c r="U28" i="24" s="1"/>
  <c r="B25" i="5"/>
  <c r="B26" i="5"/>
  <c r="C30" i="24" s="1"/>
  <c r="U30" i="24" s="1"/>
  <c r="B27" i="5"/>
  <c r="B28" i="5"/>
  <c r="C32" i="10" s="1"/>
  <c r="AA32" i="10" s="1"/>
  <c r="B29" i="5"/>
  <c r="B30" i="5"/>
  <c r="AD30" i="5" s="1"/>
  <c r="AE30" i="5" s="1"/>
  <c r="B31" i="5"/>
  <c r="C35" i="10" s="1"/>
  <c r="Z35" i="10" s="1"/>
  <c r="B32" i="5"/>
  <c r="C36" i="10" s="1"/>
  <c r="AA36" i="10" s="1"/>
  <c r="B33" i="5"/>
  <c r="B34" i="5"/>
  <c r="C38" i="10" s="1"/>
  <c r="AA38" i="10" s="1"/>
  <c r="B35" i="5"/>
  <c r="B36" i="5"/>
  <c r="C40" i="24" s="1"/>
  <c r="U40" i="24" s="1"/>
  <c r="B37" i="5"/>
  <c r="B38" i="5"/>
  <c r="C42" i="24" s="1"/>
  <c r="U42" i="24" s="1"/>
  <c r="B39" i="5"/>
  <c r="C39" i="5" s="1"/>
  <c r="C43" i="14" s="1"/>
  <c r="B40" i="5"/>
  <c r="C40" i="5" s="1"/>
  <c r="C44" i="14" s="1"/>
  <c r="B41" i="5"/>
  <c r="B42" i="5"/>
  <c r="C46" i="10" s="1"/>
  <c r="Z46" i="10" s="1"/>
  <c r="B43" i="5"/>
  <c r="B44" i="5"/>
  <c r="C48" i="24" s="1"/>
  <c r="U48" i="24" s="1"/>
  <c r="B45" i="5"/>
  <c r="B46" i="5"/>
  <c r="C50" i="24" s="1"/>
  <c r="U50" i="24" s="1"/>
  <c r="B47" i="5"/>
  <c r="B48" i="5"/>
  <c r="C52" i="8" s="1"/>
  <c r="B49" i="5"/>
  <c r="C53" i="10" s="1"/>
  <c r="AA53" i="10" s="1"/>
  <c r="B50" i="5"/>
  <c r="C50" i="5" s="1"/>
  <c r="C54" i="14" s="1"/>
  <c r="Z54" i="14" s="1"/>
  <c r="P10" i="5"/>
  <c r="B6" i="33" s="1"/>
  <c r="P11" i="5"/>
  <c r="B7" i="33" s="1"/>
  <c r="P13" i="18"/>
  <c r="U13" i="18" s="1"/>
  <c r="P14" i="18"/>
  <c r="U14" i="18" s="1"/>
  <c r="P15" i="18"/>
  <c r="U15" i="18" s="1"/>
  <c r="P16" i="18"/>
  <c r="U16" i="18" s="1"/>
  <c r="P17" i="18"/>
  <c r="U17" i="18" s="1"/>
  <c r="P18" i="18"/>
  <c r="U18" i="18" s="1"/>
  <c r="P19" i="18"/>
  <c r="U19" i="18" s="1"/>
  <c r="P20" i="18"/>
  <c r="U20" i="18" s="1"/>
  <c r="P21" i="18"/>
  <c r="U21" i="18" s="1"/>
  <c r="P22" i="18"/>
  <c r="U22" i="18" s="1"/>
  <c r="P23" i="18"/>
  <c r="U23" i="18" s="1"/>
  <c r="P24" i="18"/>
  <c r="U24" i="18" s="1"/>
  <c r="P25" i="18"/>
  <c r="U25" i="18" s="1"/>
  <c r="P26" i="18"/>
  <c r="U26" i="18" s="1"/>
  <c r="P27" i="18"/>
  <c r="U27" i="18" s="1"/>
  <c r="P28" i="18"/>
  <c r="U28" i="18" s="1"/>
  <c r="P29" i="18"/>
  <c r="U29" i="18" s="1"/>
  <c r="P30" i="18"/>
  <c r="U30" i="18" s="1"/>
  <c r="P31" i="18"/>
  <c r="U31" i="18" s="1"/>
  <c r="P32" i="18"/>
  <c r="U32" i="18" s="1"/>
  <c r="P33" i="18"/>
  <c r="U33" i="18" s="1"/>
  <c r="P34" i="18"/>
  <c r="U34" i="18" s="1"/>
  <c r="P35" i="18"/>
  <c r="U35" i="18" s="1"/>
  <c r="P36" i="18"/>
  <c r="U36" i="18" s="1"/>
  <c r="P37" i="18"/>
  <c r="U37" i="18" s="1"/>
  <c r="P38" i="18"/>
  <c r="U38" i="18" s="1"/>
  <c r="P39" i="18"/>
  <c r="U39" i="18" s="1"/>
  <c r="P40" i="18"/>
  <c r="U40" i="18" s="1"/>
  <c r="P41" i="18"/>
  <c r="U41" i="18" s="1"/>
  <c r="P42" i="18"/>
  <c r="U42" i="18" s="1"/>
  <c r="P43" i="18"/>
  <c r="U43" i="18" s="1"/>
  <c r="P44" i="18"/>
  <c r="U44" i="18" s="1"/>
  <c r="P45" i="18"/>
  <c r="U45" i="18" s="1"/>
  <c r="P46" i="18"/>
  <c r="U46" i="18" s="1"/>
  <c r="P47" i="18"/>
  <c r="U47" i="18" s="1"/>
  <c r="P48" i="18"/>
  <c r="U48" i="18" s="1"/>
  <c r="P49" i="18"/>
  <c r="U49" i="18" s="1"/>
  <c r="P50" i="18"/>
  <c r="U50" i="18" s="1"/>
  <c r="P51" i="18"/>
  <c r="U51" i="18" s="1"/>
  <c r="P52" i="18"/>
  <c r="U52" i="18" s="1"/>
  <c r="P53" i="18"/>
  <c r="U53" i="18" s="1"/>
  <c r="P54" i="18"/>
  <c r="U54" i="18" s="1"/>
  <c r="P55" i="18"/>
  <c r="U55" i="18" s="1"/>
  <c r="P61" i="18"/>
  <c r="U61" i="18" s="1"/>
  <c r="O63" i="18"/>
  <c r="P60" i="13"/>
  <c r="U60" i="13" s="1"/>
  <c r="S62" i="13"/>
  <c r="T62" i="13" s="1"/>
  <c r="N62" i="13"/>
  <c r="O62" i="13" s="1"/>
  <c r="N61" i="16"/>
  <c r="P61" i="16"/>
  <c r="U61" i="16" s="1"/>
  <c r="G22" i="2" s="1"/>
  <c r="B59" i="17"/>
  <c r="B53" i="17"/>
  <c r="B52" i="17"/>
  <c r="B51" i="17"/>
  <c r="B50" i="17"/>
  <c r="B49" i="17"/>
  <c r="B48" i="17"/>
  <c r="B47" i="17"/>
  <c r="B46" i="17"/>
  <c r="B45" i="17"/>
  <c r="B44" i="17"/>
  <c r="B43" i="17"/>
  <c r="B42" i="17"/>
  <c r="B41" i="17"/>
  <c r="B40" i="17"/>
  <c r="AC40" i="17" s="1"/>
  <c r="B39" i="17"/>
  <c r="AC39" i="17" s="1"/>
  <c r="B38" i="17"/>
  <c r="AC38" i="17" s="1"/>
  <c r="B37" i="17"/>
  <c r="AC37" i="17" s="1"/>
  <c r="B36" i="17"/>
  <c r="B35" i="17"/>
  <c r="B34" i="17"/>
  <c r="B33" i="17"/>
  <c r="B32" i="17"/>
  <c r="AC32" i="17" s="1"/>
  <c r="B31" i="17"/>
  <c r="AC31" i="17" s="1"/>
  <c r="B30" i="17"/>
  <c r="B29" i="17"/>
  <c r="AC29" i="17" s="1"/>
  <c r="B28" i="17"/>
  <c r="B27" i="17"/>
  <c r="B26" i="17"/>
  <c r="B25" i="17"/>
  <c r="B24" i="17"/>
  <c r="AC24" i="17" s="1"/>
  <c r="B23" i="17"/>
  <c r="B22" i="17"/>
  <c r="B21" i="17"/>
  <c r="AC21" i="17" s="1"/>
  <c r="B20" i="17"/>
  <c r="B19" i="17"/>
  <c r="B18" i="17"/>
  <c r="B17" i="17"/>
  <c r="B16" i="17"/>
  <c r="B15" i="17"/>
  <c r="B14" i="17"/>
  <c r="AC14" i="17" s="1"/>
  <c r="B13" i="17"/>
  <c r="AC13" i="17" s="1"/>
  <c r="D20" i="12"/>
  <c r="N20" i="12" s="1"/>
  <c r="O20" i="12" s="1"/>
  <c r="F64" i="13"/>
  <c r="Q64" i="13" s="1"/>
  <c r="C13" i="14"/>
  <c r="C60" i="12"/>
  <c r="W60" i="12" s="1"/>
  <c r="C48" i="12"/>
  <c r="W48" i="12" s="1"/>
  <c r="C16" i="12"/>
  <c r="W16" i="12" s="1"/>
  <c r="B53" i="5"/>
  <c r="C50" i="8"/>
  <c r="AA50" i="8" s="1"/>
  <c r="C58" i="19"/>
  <c r="AA58" i="19" s="1"/>
  <c r="AF58" i="19" s="1"/>
  <c r="C14" i="19"/>
  <c r="Z14" i="19" s="1"/>
  <c r="C15" i="19"/>
  <c r="Z15" i="19" s="1"/>
  <c r="C16" i="19"/>
  <c r="AA16" i="19" s="1"/>
  <c r="C17" i="19"/>
  <c r="Z17" i="19" s="1"/>
  <c r="C18" i="19"/>
  <c r="Z18" i="19" s="1"/>
  <c r="C19" i="19"/>
  <c r="AA19" i="19" s="1"/>
  <c r="C20" i="19"/>
  <c r="Z20" i="19" s="1"/>
  <c r="C21" i="19"/>
  <c r="Z21" i="19" s="1"/>
  <c r="C22" i="19"/>
  <c r="Z22" i="19" s="1"/>
  <c r="C23" i="19"/>
  <c r="AA23" i="19" s="1"/>
  <c r="C24" i="19"/>
  <c r="Z24" i="19" s="1"/>
  <c r="C25" i="19"/>
  <c r="Z25" i="19" s="1"/>
  <c r="C26" i="19"/>
  <c r="Z26" i="19" s="1"/>
  <c r="C27" i="19"/>
  <c r="AA27" i="19" s="1"/>
  <c r="C28" i="19"/>
  <c r="Z28" i="19" s="1"/>
  <c r="C29" i="19"/>
  <c r="AA29" i="19" s="1"/>
  <c r="C30" i="19"/>
  <c r="AA30" i="19" s="1"/>
  <c r="C31" i="19"/>
  <c r="Z31" i="19" s="1"/>
  <c r="C32" i="19"/>
  <c r="AA32" i="19" s="1"/>
  <c r="C33" i="19"/>
  <c r="AA33" i="19" s="1"/>
  <c r="C34" i="19"/>
  <c r="AA34" i="19" s="1"/>
  <c r="C35" i="19"/>
  <c r="Z35" i="19" s="1"/>
  <c r="C36" i="19"/>
  <c r="AA36" i="19" s="1"/>
  <c r="C37" i="19"/>
  <c r="Z37" i="19" s="1"/>
  <c r="C38" i="19"/>
  <c r="AA38" i="19" s="1"/>
  <c r="C39" i="19"/>
  <c r="Z39" i="19" s="1"/>
  <c r="C40" i="19"/>
  <c r="Z40" i="19" s="1"/>
  <c r="C41" i="19"/>
  <c r="AA41" i="19" s="1"/>
  <c r="C42" i="19"/>
  <c r="Z42" i="19" s="1"/>
  <c r="C43" i="19"/>
  <c r="AA43" i="19" s="1"/>
  <c r="C44" i="19"/>
  <c r="Z44" i="19" s="1"/>
  <c r="C45" i="19"/>
  <c r="Z45" i="19" s="1"/>
  <c r="C46" i="19"/>
  <c r="Z46" i="19" s="1"/>
  <c r="C47" i="19"/>
  <c r="Z47" i="19" s="1"/>
  <c r="C48" i="19"/>
  <c r="Z48" i="19" s="1"/>
  <c r="C49" i="19"/>
  <c r="C50" i="19"/>
  <c r="Z50" i="19" s="1"/>
  <c r="C56" i="19"/>
  <c r="AA56" i="19" s="1"/>
  <c r="C13" i="19"/>
  <c r="AA13" i="19" s="1"/>
  <c r="C63" i="18"/>
  <c r="Z63" i="18" s="1"/>
  <c r="C14" i="18"/>
  <c r="AA14" i="18" s="1"/>
  <c r="C15" i="18"/>
  <c r="Z15" i="18" s="1"/>
  <c r="C16" i="18"/>
  <c r="Z16" i="18" s="1"/>
  <c r="C17" i="18"/>
  <c r="AA17" i="18" s="1"/>
  <c r="C18" i="18"/>
  <c r="Z18" i="18" s="1"/>
  <c r="C19" i="18"/>
  <c r="AA19" i="18" s="1"/>
  <c r="C20" i="18"/>
  <c r="Z20" i="18" s="1"/>
  <c r="C21" i="18"/>
  <c r="Z21" i="18" s="1"/>
  <c r="C22" i="18"/>
  <c r="AA22" i="18" s="1"/>
  <c r="C23" i="18"/>
  <c r="Z23" i="18" s="1"/>
  <c r="C24" i="18"/>
  <c r="AA24" i="18" s="1"/>
  <c r="C25" i="18"/>
  <c r="Z25" i="18" s="1"/>
  <c r="C26" i="18"/>
  <c r="Z26" i="18" s="1"/>
  <c r="C27" i="18"/>
  <c r="Z27" i="18" s="1"/>
  <c r="C28" i="18"/>
  <c r="Z28" i="18" s="1"/>
  <c r="C29" i="18"/>
  <c r="AA29" i="18" s="1"/>
  <c r="C30" i="18"/>
  <c r="AA30" i="18" s="1"/>
  <c r="C31" i="18"/>
  <c r="AA31" i="18" s="1"/>
  <c r="C32" i="18"/>
  <c r="AA32" i="18" s="1"/>
  <c r="C33" i="18"/>
  <c r="AA33" i="18" s="1"/>
  <c r="C34" i="18"/>
  <c r="AA34" i="18" s="1"/>
  <c r="C35" i="18"/>
  <c r="Z35" i="18" s="1"/>
  <c r="C36" i="18"/>
  <c r="Z36" i="18" s="1"/>
  <c r="C37" i="18"/>
  <c r="Z37" i="18" s="1"/>
  <c r="C38" i="18"/>
  <c r="Z38" i="18" s="1"/>
  <c r="C39" i="18"/>
  <c r="Z39" i="18" s="1"/>
  <c r="C40" i="18"/>
  <c r="AA40" i="18" s="1"/>
  <c r="C41" i="18"/>
  <c r="Z41" i="18" s="1"/>
  <c r="C42" i="18"/>
  <c r="AA42" i="18" s="1"/>
  <c r="C43" i="18"/>
  <c r="AA43" i="18" s="1"/>
  <c r="C44" i="18"/>
  <c r="Z44" i="18" s="1"/>
  <c r="C45" i="18"/>
  <c r="AA45" i="18" s="1"/>
  <c r="C46" i="18"/>
  <c r="Z46" i="18" s="1"/>
  <c r="C47" i="18"/>
  <c r="Z47" i="18" s="1"/>
  <c r="C48" i="18"/>
  <c r="AA48" i="18" s="1"/>
  <c r="C49" i="18"/>
  <c r="AA49" i="18" s="1"/>
  <c r="C50" i="18"/>
  <c r="Z50" i="18" s="1"/>
  <c r="C51" i="18"/>
  <c r="Z51" i="18" s="1"/>
  <c r="C52" i="18"/>
  <c r="AA52" i="18" s="1"/>
  <c r="C53" i="18"/>
  <c r="Z53" i="18" s="1"/>
  <c r="C54" i="18"/>
  <c r="Z54" i="18" s="1"/>
  <c r="C55" i="18"/>
  <c r="C13" i="18"/>
  <c r="Z13" i="18" s="1"/>
  <c r="G67" i="4"/>
  <c r="H67" i="4"/>
  <c r="I67" i="4"/>
  <c r="J67" i="4"/>
  <c r="K67" i="4"/>
  <c r="L67" i="4"/>
  <c r="M67" i="4"/>
  <c r="N67" i="4"/>
  <c r="O67" i="4"/>
  <c r="P67" i="4"/>
  <c r="AF50" i="5"/>
  <c r="U51" i="5"/>
  <c r="D53" i="5"/>
  <c r="B54" i="5"/>
  <c r="J52" i="5"/>
  <c r="A48" i="33" s="1"/>
  <c r="D48" i="33" s="1"/>
  <c r="J137" i="25"/>
  <c r="J108" i="25"/>
  <c r="J109" i="25"/>
  <c r="J110" i="25"/>
  <c r="J111" i="25"/>
  <c r="J112" i="25"/>
  <c r="J113" i="25"/>
  <c r="J114" i="25"/>
  <c r="J115" i="25"/>
  <c r="J116" i="25"/>
  <c r="J117" i="25"/>
  <c r="J118" i="25"/>
  <c r="J119" i="25"/>
  <c r="J120" i="25"/>
  <c r="J121" i="25"/>
  <c r="J122" i="25"/>
  <c r="J123" i="25"/>
  <c r="J124" i="25"/>
  <c r="J125" i="25"/>
  <c r="J126" i="25"/>
  <c r="J127" i="25"/>
  <c r="J128" i="25"/>
  <c r="J129" i="25"/>
  <c r="J130" i="25"/>
  <c r="J131" i="25"/>
  <c r="J132" i="25"/>
  <c r="J133" i="25"/>
  <c r="J134" i="25"/>
  <c r="J135" i="25"/>
  <c r="J136" i="25"/>
  <c r="V137" i="25"/>
  <c r="V108" i="25"/>
  <c r="V109" i="25"/>
  <c r="V110" i="25"/>
  <c r="V111" i="25"/>
  <c r="V112" i="25"/>
  <c r="V113" i="25"/>
  <c r="V114" i="25"/>
  <c r="V115" i="25"/>
  <c r="V116" i="25"/>
  <c r="V117" i="25"/>
  <c r="V118" i="25"/>
  <c r="V119" i="25"/>
  <c r="V120" i="25"/>
  <c r="V121" i="25"/>
  <c r="V122" i="25"/>
  <c r="V123" i="25"/>
  <c r="V124" i="25"/>
  <c r="V125" i="25"/>
  <c r="V126" i="25"/>
  <c r="V127" i="25"/>
  <c r="V128" i="25"/>
  <c r="V129" i="25"/>
  <c r="V130" i="25"/>
  <c r="V131" i="25"/>
  <c r="V132" i="25"/>
  <c r="V133" i="25"/>
  <c r="V134" i="25"/>
  <c r="V135" i="25"/>
  <c r="V136" i="25"/>
  <c r="I138" i="25"/>
  <c r="Q138" i="25" s="1"/>
  <c r="A1" i="27"/>
  <c r="A1" i="26"/>
  <c r="F63" i="17"/>
  <c r="Q63" i="17" s="1"/>
  <c r="P53" i="17"/>
  <c r="U53" i="17" s="1"/>
  <c r="AI53" i="16"/>
  <c r="F63" i="16"/>
  <c r="Q63" i="16" s="1"/>
  <c r="P53" i="16"/>
  <c r="U53" i="16" s="1"/>
  <c r="AI54" i="15"/>
  <c r="F64" i="15"/>
  <c r="Q64" i="15" s="1"/>
  <c r="P54" i="15"/>
  <c r="U54" i="15" s="1"/>
  <c r="F64" i="14"/>
  <c r="Q64" i="14" s="1"/>
  <c r="F64" i="12"/>
  <c r="Q64" i="12" s="1"/>
  <c r="U54" i="12"/>
  <c r="P54" i="12"/>
  <c r="F64" i="11"/>
  <c r="Q64" i="11" s="1"/>
  <c r="P54" i="11"/>
  <c r="U54" i="11" s="1"/>
  <c r="F64" i="10"/>
  <c r="Q64" i="10" s="1"/>
  <c r="P54" i="10"/>
  <c r="P54" i="24"/>
  <c r="F62" i="9"/>
  <c r="Q62" i="9" s="1"/>
  <c r="P52" i="9"/>
  <c r="U52" i="9" s="1"/>
  <c r="F65" i="8"/>
  <c r="Q65" i="8" s="1"/>
  <c r="P55" i="8"/>
  <c r="F60" i="19"/>
  <c r="Q60" i="19" s="1"/>
  <c r="K35" i="3"/>
  <c r="L35" i="3"/>
  <c r="AV1" i="5"/>
  <c r="AA8" i="5"/>
  <c r="V8" i="5"/>
  <c r="W8" i="5" s="1"/>
  <c r="X8" i="5" s="1"/>
  <c r="P8" i="5"/>
  <c r="B4" i="33" s="1"/>
  <c r="B8" i="5"/>
  <c r="Y8" i="5" s="1"/>
  <c r="Z8" i="5" s="1"/>
  <c r="K34" i="3"/>
  <c r="AF49" i="5"/>
  <c r="U50" i="5"/>
  <c r="J51" i="5"/>
  <c r="A47" i="33" s="1"/>
  <c r="D47" i="33" s="1"/>
  <c r="D52" i="5"/>
  <c r="P52" i="17"/>
  <c r="U52" i="17" s="1"/>
  <c r="AI52" i="16"/>
  <c r="P52" i="16"/>
  <c r="U52" i="16" s="1"/>
  <c r="AI53" i="15"/>
  <c r="P53" i="15"/>
  <c r="U53" i="15" s="1"/>
  <c r="U53" i="12"/>
  <c r="P53" i="12"/>
  <c r="P53" i="11"/>
  <c r="U53" i="11" s="1"/>
  <c r="P53" i="10"/>
  <c r="P53" i="24"/>
  <c r="P51" i="9"/>
  <c r="U51" i="9" s="1"/>
  <c r="P54" i="8"/>
  <c r="B4" i="2"/>
  <c r="L34" i="3"/>
  <c r="I137" i="25"/>
  <c r="Q137" i="25" s="1"/>
  <c r="A11" i="25"/>
  <c r="B62" i="12"/>
  <c r="S11" i="23"/>
  <c r="O13" i="23"/>
  <c r="P14" i="23"/>
  <c r="S14" i="23"/>
  <c r="O26" i="23"/>
  <c r="P29" i="23"/>
  <c r="P34" i="23"/>
  <c r="P38" i="23"/>
  <c r="P43" i="23"/>
  <c r="S46" i="23"/>
  <c r="J98" i="25"/>
  <c r="J99" i="25"/>
  <c r="J100" i="25"/>
  <c r="J101" i="25"/>
  <c r="J102" i="25"/>
  <c r="J103" i="25"/>
  <c r="J104" i="25"/>
  <c r="J105" i="25"/>
  <c r="J106" i="25"/>
  <c r="J107" i="25"/>
  <c r="AA97" i="25"/>
  <c r="V89" i="25"/>
  <c r="V90" i="25"/>
  <c r="V91" i="25"/>
  <c r="V92" i="25"/>
  <c r="V93" i="25"/>
  <c r="V94" i="25"/>
  <c r="V95" i="25"/>
  <c r="V96" i="25"/>
  <c r="V97" i="25"/>
  <c r="V98" i="25"/>
  <c r="V99" i="25"/>
  <c r="V100" i="25"/>
  <c r="V101" i="25"/>
  <c r="V102" i="25"/>
  <c r="V103" i="25"/>
  <c r="V104" i="25"/>
  <c r="V105" i="25"/>
  <c r="V107" i="25"/>
  <c r="V106" i="25"/>
  <c r="A1" i="25"/>
  <c r="I89" i="25"/>
  <c r="Q89" i="25" s="1"/>
  <c r="I90" i="25"/>
  <c r="Q90" i="25" s="1"/>
  <c r="I91" i="25"/>
  <c r="Q91" i="25" s="1"/>
  <c r="I92" i="25"/>
  <c r="Q92" i="25" s="1"/>
  <c r="I93" i="25"/>
  <c r="Q93" i="25" s="1"/>
  <c r="I94" i="25"/>
  <c r="Q94" i="25" s="1"/>
  <c r="I95" i="25"/>
  <c r="Q95" i="25" s="1"/>
  <c r="I96" i="25"/>
  <c r="Q96" i="25" s="1"/>
  <c r="I97" i="25"/>
  <c r="Q97" i="25" s="1"/>
  <c r="I98" i="25"/>
  <c r="Q98" i="25" s="1"/>
  <c r="I99" i="25"/>
  <c r="Q99" i="25" s="1"/>
  <c r="I100" i="25"/>
  <c r="Q100" i="25" s="1"/>
  <c r="I101" i="25"/>
  <c r="Q101" i="25" s="1"/>
  <c r="I102" i="25"/>
  <c r="Q102" i="25" s="1"/>
  <c r="I103" i="25"/>
  <c r="Q103" i="25" s="1"/>
  <c r="I104" i="25"/>
  <c r="Q104" i="25" s="1"/>
  <c r="I105" i="25"/>
  <c r="Q105" i="25" s="1"/>
  <c r="I106" i="25"/>
  <c r="Q106" i="25" s="1"/>
  <c r="I107" i="25"/>
  <c r="Q107" i="25" s="1"/>
  <c r="I108" i="25"/>
  <c r="Q108" i="25" s="1"/>
  <c r="I109" i="25"/>
  <c r="Q109" i="25" s="1"/>
  <c r="I110" i="25"/>
  <c r="Q110" i="25" s="1"/>
  <c r="I111" i="25"/>
  <c r="Q111" i="25" s="1"/>
  <c r="I112" i="25"/>
  <c r="Q112" i="25" s="1"/>
  <c r="I113" i="25"/>
  <c r="Q113" i="25" s="1"/>
  <c r="I114" i="25"/>
  <c r="Q114" i="25" s="1"/>
  <c r="I115" i="25"/>
  <c r="Q115" i="25" s="1"/>
  <c r="I116" i="25"/>
  <c r="Q116" i="25" s="1"/>
  <c r="I117" i="25"/>
  <c r="Q117" i="25" s="1"/>
  <c r="I118" i="25"/>
  <c r="Q118" i="25" s="1"/>
  <c r="I119" i="25"/>
  <c r="Q119" i="25" s="1"/>
  <c r="I120" i="25"/>
  <c r="Q120" i="25" s="1"/>
  <c r="I121" i="25"/>
  <c r="Q121" i="25" s="1"/>
  <c r="I122" i="25"/>
  <c r="Q122" i="25" s="1"/>
  <c r="I123" i="25"/>
  <c r="Q123" i="25" s="1"/>
  <c r="I124" i="25"/>
  <c r="Q124" i="25" s="1"/>
  <c r="I125" i="25"/>
  <c r="Q125" i="25" s="1"/>
  <c r="I126" i="25"/>
  <c r="Q126" i="25" s="1"/>
  <c r="I127" i="25"/>
  <c r="Q127" i="25" s="1"/>
  <c r="I128" i="25"/>
  <c r="Q128" i="25" s="1"/>
  <c r="I129" i="25"/>
  <c r="Q129" i="25" s="1"/>
  <c r="I130" i="25"/>
  <c r="Q130" i="25" s="1"/>
  <c r="I131" i="25"/>
  <c r="Q131" i="25" s="1"/>
  <c r="I132" i="25"/>
  <c r="Q132" i="25" s="1"/>
  <c r="I133" i="25"/>
  <c r="Q133" i="25" s="1"/>
  <c r="I134" i="25"/>
  <c r="Q134" i="25" s="1"/>
  <c r="I135" i="25"/>
  <c r="Q135" i="25" s="1"/>
  <c r="I136" i="25"/>
  <c r="Q136" i="25" s="1"/>
  <c r="I88" i="25"/>
  <c r="Q88" i="25" s="1"/>
  <c r="H2" i="22"/>
  <c r="G2" i="22"/>
  <c r="B2" i="22"/>
  <c r="P45" i="11"/>
  <c r="U45" i="11" s="1"/>
  <c r="P13" i="11"/>
  <c r="U13" i="11" s="1"/>
  <c r="P14" i="11"/>
  <c r="U14" i="11" s="1"/>
  <c r="P15" i="11"/>
  <c r="U15" i="11" s="1"/>
  <c r="P16" i="11"/>
  <c r="U16" i="11" s="1"/>
  <c r="P17" i="11"/>
  <c r="U17" i="11" s="1"/>
  <c r="P18" i="11"/>
  <c r="U18" i="11" s="1"/>
  <c r="P19" i="11"/>
  <c r="U19" i="11" s="1"/>
  <c r="P20" i="11"/>
  <c r="U20" i="11" s="1"/>
  <c r="P21" i="11"/>
  <c r="U21" i="11" s="1"/>
  <c r="P22" i="11"/>
  <c r="U22" i="11" s="1"/>
  <c r="P23" i="11"/>
  <c r="U23" i="11" s="1"/>
  <c r="P24" i="11"/>
  <c r="U24" i="11" s="1"/>
  <c r="P25" i="11"/>
  <c r="U25" i="11" s="1"/>
  <c r="P26" i="11"/>
  <c r="U26" i="11" s="1"/>
  <c r="P27" i="11"/>
  <c r="U27" i="11" s="1"/>
  <c r="P28" i="11"/>
  <c r="U28" i="11" s="1"/>
  <c r="P29" i="11"/>
  <c r="U29" i="11" s="1"/>
  <c r="P30" i="11"/>
  <c r="U30" i="11" s="1"/>
  <c r="P31" i="11"/>
  <c r="U31" i="11" s="1"/>
  <c r="P32" i="11"/>
  <c r="U32" i="11" s="1"/>
  <c r="P33" i="11"/>
  <c r="U33" i="11" s="1"/>
  <c r="P34" i="11"/>
  <c r="U34" i="11" s="1"/>
  <c r="P35" i="11"/>
  <c r="U35" i="11" s="1"/>
  <c r="P36" i="11"/>
  <c r="U36" i="11" s="1"/>
  <c r="P37" i="11"/>
  <c r="U37" i="11" s="1"/>
  <c r="P38" i="11"/>
  <c r="U38" i="11" s="1"/>
  <c r="P39" i="11"/>
  <c r="U39" i="11" s="1"/>
  <c r="P40" i="11"/>
  <c r="U40" i="11" s="1"/>
  <c r="P41" i="11"/>
  <c r="U41" i="11" s="1"/>
  <c r="P42" i="11"/>
  <c r="U42" i="11" s="1"/>
  <c r="P43" i="11"/>
  <c r="U43" i="11" s="1"/>
  <c r="P44" i="11"/>
  <c r="U44" i="11" s="1"/>
  <c r="P46" i="11"/>
  <c r="U46" i="11" s="1"/>
  <c r="P47" i="11"/>
  <c r="U47" i="11" s="1"/>
  <c r="P48" i="11"/>
  <c r="U48" i="11" s="1"/>
  <c r="P49" i="11"/>
  <c r="U49" i="11" s="1"/>
  <c r="P50" i="11"/>
  <c r="U50" i="11" s="1"/>
  <c r="P51" i="11"/>
  <c r="U51" i="11" s="1"/>
  <c r="P52" i="11"/>
  <c r="U52" i="11" s="1"/>
  <c r="F65" i="11"/>
  <c r="Q65" i="11" s="1"/>
  <c r="C132" i="3"/>
  <c r="D132" i="3"/>
  <c r="C88" i="3"/>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B38" i="12"/>
  <c r="AB39" i="12"/>
  <c r="AB40" i="12"/>
  <c r="AB41" i="12"/>
  <c r="AB42" i="12"/>
  <c r="AB43" i="12"/>
  <c r="AB44" i="12"/>
  <c r="AB45" i="12"/>
  <c r="AB13" i="12"/>
  <c r="P59" i="17"/>
  <c r="F66" i="18"/>
  <c r="Q66" i="18" s="1"/>
  <c r="P13" i="10"/>
  <c r="P14" i="10"/>
  <c r="P15" i="10"/>
  <c r="P16" i="10"/>
  <c r="P17" i="10"/>
  <c r="P18" i="10"/>
  <c r="P19" i="10"/>
  <c r="P20" i="10"/>
  <c r="P21" i="10"/>
  <c r="P22" i="10"/>
  <c r="P23" i="10"/>
  <c r="P24" i="10"/>
  <c r="P25" i="10"/>
  <c r="P26" i="10"/>
  <c r="P27" i="10"/>
  <c r="P28" i="10"/>
  <c r="P29" i="10"/>
  <c r="P30" i="10"/>
  <c r="P31" i="10"/>
  <c r="P32" i="10"/>
  <c r="P33" i="10"/>
  <c r="P34" i="10"/>
  <c r="P35" i="10"/>
  <c r="P36" i="10"/>
  <c r="P37" i="10"/>
  <c r="P38" i="10"/>
  <c r="P39" i="10"/>
  <c r="P40" i="10"/>
  <c r="P41" i="10"/>
  <c r="P42" i="10"/>
  <c r="P43" i="10"/>
  <c r="P44" i="10"/>
  <c r="P45" i="10"/>
  <c r="P46" i="10"/>
  <c r="P47" i="10"/>
  <c r="P48" i="10"/>
  <c r="P49" i="10"/>
  <c r="P50" i="10"/>
  <c r="P51" i="10"/>
  <c r="P52" i="10"/>
  <c r="AI51" i="16"/>
  <c r="P51" i="16"/>
  <c r="U51" i="16" s="1"/>
  <c r="AI52" i="15"/>
  <c r="P52" i="15"/>
  <c r="U52" i="15" s="1"/>
  <c r="U52" i="12"/>
  <c r="P52" i="12"/>
  <c r="P52" i="24"/>
  <c r="P50" i="9"/>
  <c r="U50" i="9" s="1"/>
  <c r="P53" i="8"/>
  <c r="U49" i="5"/>
  <c r="AF48" i="5"/>
  <c r="J50" i="5"/>
  <c r="A46" i="33" s="1"/>
  <c r="D46" i="33" s="1"/>
  <c r="D51" i="5"/>
  <c r="G79" i="2"/>
  <c r="K27" i="3"/>
  <c r="K32" i="3"/>
  <c r="K33" i="3"/>
  <c r="K9" i="3"/>
  <c r="K10" i="3"/>
  <c r="K11" i="3"/>
  <c r="K12" i="3"/>
  <c r="K13" i="3"/>
  <c r="K14" i="3"/>
  <c r="K15" i="3"/>
  <c r="K16" i="3"/>
  <c r="K17" i="3"/>
  <c r="K18" i="3"/>
  <c r="K19" i="3"/>
  <c r="K20" i="3"/>
  <c r="K21" i="3"/>
  <c r="K22" i="3"/>
  <c r="K23" i="3"/>
  <c r="K24" i="3"/>
  <c r="K25" i="3"/>
  <c r="K26" i="3"/>
  <c r="K28" i="3"/>
  <c r="K29" i="3"/>
  <c r="K30" i="3"/>
  <c r="K31" i="3"/>
  <c r="L33" i="3"/>
  <c r="L32" i="3"/>
  <c r="C126" i="3"/>
  <c r="D126" i="3"/>
  <c r="C131" i="3"/>
  <c r="D131" i="3"/>
  <c r="C108" i="3"/>
  <c r="D108" i="3"/>
  <c r="C109" i="3"/>
  <c r="D109" i="3"/>
  <c r="E109" i="3" s="1"/>
  <c r="F109" i="3" s="1"/>
  <c r="G109" i="3" s="1"/>
  <c r="C110" i="3"/>
  <c r="D110" i="3"/>
  <c r="C111" i="3"/>
  <c r="D111" i="3"/>
  <c r="C112" i="3"/>
  <c r="D112" i="3"/>
  <c r="C113" i="3"/>
  <c r="D113" i="3"/>
  <c r="C114" i="3"/>
  <c r="D114" i="3"/>
  <c r="C115" i="3"/>
  <c r="D115" i="3"/>
  <c r="C116" i="3"/>
  <c r="D116" i="3"/>
  <c r="C117" i="3"/>
  <c r="D117" i="3"/>
  <c r="E117" i="3" s="1"/>
  <c r="F117" i="3" s="1"/>
  <c r="G117" i="3" s="1"/>
  <c r="C118" i="3"/>
  <c r="D118" i="3"/>
  <c r="C119" i="3"/>
  <c r="D119" i="3"/>
  <c r="C120" i="3"/>
  <c r="D120" i="3"/>
  <c r="C121" i="3"/>
  <c r="D121" i="3"/>
  <c r="C122" i="3"/>
  <c r="D122" i="3"/>
  <c r="C123" i="3"/>
  <c r="D123" i="3"/>
  <c r="C124" i="3"/>
  <c r="D124" i="3"/>
  <c r="C125" i="3"/>
  <c r="D125" i="3"/>
  <c r="C127" i="3"/>
  <c r="D127" i="3"/>
  <c r="C128" i="3"/>
  <c r="D128" i="3"/>
  <c r="C129" i="3"/>
  <c r="D129" i="3"/>
  <c r="C130" i="3"/>
  <c r="D130" i="3"/>
  <c r="C87" i="3"/>
  <c r="C85" i="3"/>
  <c r="C86" i="3"/>
  <c r="C64" i="3"/>
  <c r="C65" i="3"/>
  <c r="C66" i="3"/>
  <c r="C67" i="3"/>
  <c r="C68" i="3"/>
  <c r="C69" i="3"/>
  <c r="C70" i="3"/>
  <c r="C71" i="3"/>
  <c r="C72" i="3"/>
  <c r="C73" i="3"/>
  <c r="C74" i="3"/>
  <c r="C76" i="3"/>
  <c r="C77" i="3"/>
  <c r="C78" i="3"/>
  <c r="C79" i="3"/>
  <c r="C80" i="3"/>
  <c r="C81" i="3"/>
  <c r="C82" i="3"/>
  <c r="C83" i="3"/>
  <c r="C84" i="3"/>
  <c r="P13" i="15"/>
  <c r="U13" i="15" s="1"/>
  <c r="P14" i="15"/>
  <c r="U14" i="15" s="1"/>
  <c r="P15" i="15"/>
  <c r="U15" i="15" s="1"/>
  <c r="P16" i="15"/>
  <c r="U16" i="15" s="1"/>
  <c r="P17" i="15"/>
  <c r="U17" i="15" s="1"/>
  <c r="P18" i="15"/>
  <c r="U18" i="15" s="1"/>
  <c r="P19" i="15"/>
  <c r="U19" i="15" s="1"/>
  <c r="P20" i="15"/>
  <c r="U20" i="15" s="1"/>
  <c r="P21" i="15"/>
  <c r="U21" i="15" s="1"/>
  <c r="P22" i="15"/>
  <c r="U22" i="15" s="1"/>
  <c r="P23" i="15"/>
  <c r="U23" i="15" s="1"/>
  <c r="P24" i="15"/>
  <c r="U24" i="15" s="1"/>
  <c r="P25" i="15"/>
  <c r="U25" i="15" s="1"/>
  <c r="P26" i="15"/>
  <c r="U26" i="15" s="1"/>
  <c r="P27" i="15"/>
  <c r="U27" i="15" s="1"/>
  <c r="P28" i="15"/>
  <c r="U28" i="15" s="1"/>
  <c r="P29" i="15"/>
  <c r="U29" i="15" s="1"/>
  <c r="P30" i="15"/>
  <c r="U30" i="15" s="1"/>
  <c r="P31" i="15"/>
  <c r="U31" i="15" s="1"/>
  <c r="P32" i="15"/>
  <c r="U32" i="15" s="1"/>
  <c r="P33" i="15"/>
  <c r="U33" i="15" s="1"/>
  <c r="P34" i="15"/>
  <c r="U34" i="15" s="1"/>
  <c r="P35" i="15"/>
  <c r="U35" i="15" s="1"/>
  <c r="P36" i="15"/>
  <c r="U36" i="15" s="1"/>
  <c r="P37" i="15"/>
  <c r="U37" i="15" s="1"/>
  <c r="P38" i="15"/>
  <c r="U38" i="15" s="1"/>
  <c r="P39" i="15"/>
  <c r="U39" i="15" s="1"/>
  <c r="P40" i="15"/>
  <c r="U40" i="15" s="1"/>
  <c r="P41" i="15"/>
  <c r="U41" i="15" s="1"/>
  <c r="P42" i="15"/>
  <c r="U42" i="15" s="1"/>
  <c r="P43" i="15"/>
  <c r="U43" i="15" s="1"/>
  <c r="P44" i="15"/>
  <c r="U44" i="15" s="1"/>
  <c r="P45" i="15"/>
  <c r="U45" i="15" s="1"/>
  <c r="P46" i="15"/>
  <c r="U46" i="15" s="1"/>
  <c r="P47" i="15"/>
  <c r="U47" i="15" s="1"/>
  <c r="P48" i="15"/>
  <c r="U48" i="15" s="1"/>
  <c r="P49" i="15"/>
  <c r="U49" i="15" s="1"/>
  <c r="P50" i="15"/>
  <c r="U50" i="15" s="1"/>
  <c r="P51" i="15"/>
  <c r="U51" i="15" s="1"/>
  <c r="P60" i="15"/>
  <c r="U60" i="15" s="1"/>
  <c r="P13" i="16"/>
  <c r="U13" i="16" s="1"/>
  <c r="P14" i="16"/>
  <c r="U14" i="16" s="1"/>
  <c r="P15" i="16"/>
  <c r="U15" i="16" s="1"/>
  <c r="P16" i="16"/>
  <c r="U16" i="16" s="1"/>
  <c r="P17" i="16"/>
  <c r="U17" i="16" s="1"/>
  <c r="P18" i="16"/>
  <c r="U18" i="16" s="1"/>
  <c r="P19" i="16"/>
  <c r="U19" i="16" s="1"/>
  <c r="P20" i="16"/>
  <c r="U20" i="16" s="1"/>
  <c r="P21" i="16"/>
  <c r="U21" i="16" s="1"/>
  <c r="P22" i="16"/>
  <c r="U22" i="16" s="1"/>
  <c r="P23" i="16"/>
  <c r="U23" i="16" s="1"/>
  <c r="P24" i="16"/>
  <c r="U24" i="16" s="1"/>
  <c r="P25" i="16"/>
  <c r="U25" i="16" s="1"/>
  <c r="P26" i="16"/>
  <c r="U26" i="16" s="1"/>
  <c r="P27" i="16"/>
  <c r="U27" i="16" s="1"/>
  <c r="P28" i="16"/>
  <c r="U28" i="16" s="1"/>
  <c r="P29" i="16"/>
  <c r="U29" i="16" s="1"/>
  <c r="P30" i="16"/>
  <c r="U30" i="16" s="1"/>
  <c r="P31" i="16"/>
  <c r="U31" i="16" s="1"/>
  <c r="P32" i="16"/>
  <c r="U32" i="16" s="1"/>
  <c r="P33" i="16"/>
  <c r="U33" i="16" s="1"/>
  <c r="P34" i="16"/>
  <c r="U34" i="16" s="1"/>
  <c r="P35" i="16"/>
  <c r="U35" i="16" s="1"/>
  <c r="P36" i="16"/>
  <c r="U36" i="16" s="1"/>
  <c r="P37" i="16"/>
  <c r="U37" i="16" s="1"/>
  <c r="P38" i="16"/>
  <c r="U38" i="16" s="1"/>
  <c r="P39" i="16"/>
  <c r="U39" i="16" s="1"/>
  <c r="P40" i="16"/>
  <c r="U40" i="16" s="1"/>
  <c r="P41" i="16"/>
  <c r="U41" i="16" s="1"/>
  <c r="P42" i="16"/>
  <c r="U42" i="16" s="1"/>
  <c r="P43" i="16"/>
  <c r="U43" i="16" s="1"/>
  <c r="P44" i="16"/>
  <c r="U44" i="16" s="1"/>
  <c r="P45" i="16"/>
  <c r="U45" i="16" s="1"/>
  <c r="P46" i="16"/>
  <c r="U46" i="16" s="1"/>
  <c r="P47" i="16"/>
  <c r="U47" i="16" s="1"/>
  <c r="P48" i="16"/>
  <c r="U48" i="16" s="1"/>
  <c r="P49" i="16"/>
  <c r="U49" i="16" s="1"/>
  <c r="P50" i="16"/>
  <c r="U50" i="16" s="1"/>
  <c r="P59" i="16"/>
  <c r="U59" i="16" s="1"/>
  <c r="AF47" i="5"/>
  <c r="U48" i="5"/>
  <c r="J49" i="5"/>
  <c r="A45" i="33" s="1"/>
  <c r="D45" i="33" s="1"/>
  <c r="D50" i="5"/>
  <c r="P51" i="17"/>
  <c r="U51" i="17"/>
  <c r="P13" i="17"/>
  <c r="U13" i="17"/>
  <c r="P14" i="17"/>
  <c r="U14" i="17" s="1"/>
  <c r="P15" i="17"/>
  <c r="U15" i="17" s="1"/>
  <c r="P16" i="17"/>
  <c r="U16" i="17"/>
  <c r="P17" i="17"/>
  <c r="U17" i="17"/>
  <c r="P18" i="17"/>
  <c r="U18" i="17" s="1"/>
  <c r="P19" i="17"/>
  <c r="U19" i="17" s="1"/>
  <c r="P20" i="17"/>
  <c r="U20" i="17"/>
  <c r="P21" i="17"/>
  <c r="U21" i="17"/>
  <c r="P22" i="17"/>
  <c r="U22" i="17" s="1"/>
  <c r="P23" i="17"/>
  <c r="U23" i="17" s="1"/>
  <c r="P24" i="17"/>
  <c r="U24" i="17"/>
  <c r="P25" i="17"/>
  <c r="U25" i="17"/>
  <c r="P26" i="17"/>
  <c r="U26" i="17" s="1"/>
  <c r="P27" i="17"/>
  <c r="U27" i="17" s="1"/>
  <c r="P28" i="17"/>
  <c r="U28" i="17" s="1"/>
  <c r="P29" i="17"/>
  <c r="U29" i="17" s="1"/>
  <c r="P30" i="17"/>
  <c r="U30" i="17" s="1"/>
  <c r="P31" i="17"/>
  <c r="U31" i="17" s="1"/>
  <c r="P32" i="17"/>
  <c r="U32" i="17" s="1"/>
  <c r="P33" i="17"/>
  <c r="U33" i="17" s="1"/>
  <c r="P34" i="17"/>
  <c r="U34" i="17" s="1"/>
  <c r="P35" i="17"/>
  <c r="U35" i="17" s="1"/>
  <c r="P36" i="17"/>
  <c r="U36" i="17" s="1"/>
  <c r="P37" i="17"/>
  <c r="U37" i="17" s="1"/>
  <c r="P38" i="17"/>
  <c r="U38" i="17" s="1"/>
  <c r="P39" i="17"/>
  <c r="U39" i="17" s="1"/>
  <c r="P40" i="17"/>
  <c r="U40" i="17" s="1"/>
  <c r="P41" i="17"/>
  <c r="U41" i="17" s="1"/>
  <c r="P42" i="17"/>
  <c r="U42" i="17" s="1"/>
  <c r="P43" i="17"/>
  <c r="U43" i="17" s="1"/>
  <c r="P44" i="17"/>
  <c r="U44" i="17" s="1"/>
  <c r="P45" i="17"/>
  <c r="U45" i="17" s="1"/>
  <c r="P46" i="17"/>
  <c r="U46" i="17" s="1"/>
  <c r="P47" i="17"/>
  <c r="U47" i="17" s="1"/>
  <c r="P48" i="17"/>
  <c r="U48" i="17" s="1"/>
  <c r="P49" i="17"/>
  <c r="U49" i="17" s="1"/>
  <c r="P50" i="17"/>
  <c r="U50" i="17" s="1"/>
  <c r="P61" i="17"/>
  <c r="U61" i="17" s="1"/>
  <c r="G23" i="2" s="1"/>
  <c r="B61" i="17"/>
  <c r="AI50" i="16"/>
  <c r="AI51" i="15"/>
  <c r="U51" i="12"/>
  <c r="P51" i="12"/>
  <c r="P51" i="24"/>
  <c r="P49" i="9"/>
  <c r="U49" i="9" s="1"/>
  <c r="P52" i="8"/>
  <c r="L27" i="3"/>
  <c r="L9" i="3"/>
  <c r="L10" i="3"/>
  <c r="L11" i="3"/>
  <c r="L12" i="3"/>
  <c r="L13" i="3"/>
  <c r="L14" i="3"/>
  <c r="L15" i="3"/>
  <c r="L16" i="3"/>
  <c r="L17" i="3"/>
  <c r="L18" i="3"/>
  <c r="L19" i="3"/>
  <c r="L20" i="3"/>
  <c r="L21" i="3"/>
  <c r="L22" i="3"/>
  <c r="L23" i="3"/>
  <c r="L24" i="3"/>
  <c r="L25" i="3"/>
  <c r="L26" i="3"/>
  <c r="L28" i="3"/>
  <c r="L29" i="3"/>
  <c r="L30" i="3"/>
  <c r="L31" i="3"/>
  <c r="A2" i="22"/>
  <c r="C2" i="22"/>
  <c r="D2" i="22"/>
  <c r="E2" i="22"/>
  <c r="B1" i="17"/>
  <c r="AC15" i="17"/>
  <c r="AC16" i="17"/>
  <c r="AC17" i="17"/>
  <c r="AC18" i="17"/>
  <c r="AC19" i="17"/>
  <c r="AC20" i="17"/>
  <c r="AC22" i="17"/>
  <c r="AC23" i="17"/>
  <c r="AC25" i="17"/>
  <c r="AC26" i="17"/>
  <c r="AC27" i="17"/>
  <c r="AC28" i="17"/>
  <c r="AC30" i="17"/>
  <c r="AC33" i="17"/>
  <c r="AC34" i="17"/>
  <c r="AC35" i="17"/>
  <c r="AC36" i="17"/>
  <c r="AI39" i="17"/>
  <c r="AI40" i="17"/>
  <c r="AC41" i="17"/>
  <c r="AC42" i="17"/>
  <c r="AI42" i="17"/>
  <c r="AC43" i="17"/>
  <c r="AI43" i="17"/>
  <c r="AC44" i="17"/>
  <c r="AI44" i="17"/>
  <c r="AI45" i="17"/>
  <c r="N61" i="17"/>
  <c r="O61" i="17" s="1"/>
  <c r="F64" i="17"/>
  <c r="Q64" i="17" s="1"/>
  <c r="S61" i="17"/>
  <c r="T61" i="17" s="1"/>
  <c r="B1"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I39" i="16"/>
  <c r="M22" i="2" s="1"/>
  <c r="AC40" i="16"/>
  <c r="AI40" i="16"/>
  <c r="AC41" i="16"/>
  <c r="AC42" i="16"/>
  <c r="AI42" i="16"/>
  <c r="AC43" i="16"/>
  <c r="AI43" i="16"/>
  <c r="AC44" i="16"/>
  <c r="AI44" i="16"/>
  <c r="AI45" i="16"/>
  <c r="AI46" i="16"/>
  <c r="AI47" i="16"/>
  <c r="AI48" i="16"/>
  <c r="AI49" i="16"/>
  <c r="B61" i="16"/>
  <c r="O61" i="16"/>
  <c r="F64" i="16"/>
  <c r="Q64" i="16" s="1"/>
  <c r="S61" i="16"/>
  <c r="T61" i="16" s="1"/>
  <c r="B1" i="15"/>
  <c r="AC13" i="15"/>
  <c r="AC14" i="15"/>
  <c r="AC15" i="15"/>
  <c r="AC16" i="15"/>
  <c r="AC17" i="15"/>
  <c r="AC18" i="15"/>
  <c r="AC19" i="15"/>
  <c r="AC20" i="15"/>
  <c r="AC21" i="15"/>
  <c r="AC22" i="15"/>
  <c r="AC23" i="15"/>
  <c r="AC24" i="15"/>
  <c r="AC25" i="15"/>
  <c r="AC26" i="15"/>
  <c r="AC27" i="15"/>
  <c r="AC28" i="15"/>
  <c r="AC29" i="15"/>
  <c r="AC30" i="15"/>
  <c r="AC31" i="15"/>
  <c r="AC32" i="15"/>
  <c r="AC33" i="15"/>
  <c r="AC34" i="15"/>
  <c r="AC35" i="15"/>
  <c r="AC36" i="15"/>
  <c r="AC37" i="15"/>
  <c r="AC38" i="15"/>
  <c r="AC39" i="15"/>
  <c r="AC40" i="15"/>
  <c r="AC41" i="15"/>
  <c r="AI41" i="15"/>
  <c r="AC42" i="15"/>
  <c r="AC43" i="15"/>
  <c r="AI43" i="15"/>
  <c r="AC44" i="15"/>
  <c r="AI44" i="15"/>
  <c r="AC45" i="15"/>
  <c r="AI45" i="15"/>
  <c r="AI46" i="15"/>
  <c r="AI47" i="15"/>
  <c r="AI48" i="15"/>
  <c r="AI49" i="15"/>
  <c r="AI50" i="15"/>
  <c r="B62" i="15"/>
  <c r="N62" i="15"/>
  <c r="O62" i="15" s="1"/>
  <c r="F65" i="15"/>
  <c r="Q65" i="15" s="1"/>
  <c r="S62" i="15"/>
  <c r="T62" i="15" s="1"/>
  <c r="B1" i="14"/>
  <c r="AC13" i="14"/>
  <c r="AC14" i="14"/>
  <c r="AC15" i="14"/>
  <c r="AC16" i="14"/>
  <c r="AC17" i="14"/>
  <c r="AC18" i="14"/>
  <c r="AC19" i="14"/>
  <c r="AC20" i="14"/>
  <c r="AC21" i="14"/>
  <c r="AC22" i="14"/>
  <c r="AC23" i="14"/>
  <c r="AC24" i="14"/>
  <c r="AC25" i="14"/>
  <c r="AC26" i="14"/>
  <c r="AC27" i="14"/>
  <c r="AC28" i="14"/>
  <c r="AC29" i="14"/>
  <c r="AC30" i="14"/>
  <c r="AC31" i="14"/>
  <c r="AC32" i="14"/>
  <c r="AC33" i="14"/>
  <c r="AC34" i="14"/>
  <c r="AC35" i="14"/>
  <c r="AC36" i="14"/>
  <c r="AC37" i="14"/>
  <c r="AC38" i="14"/>
  <c r="AC39" i="14"/>
  <c r="AC40" i="14"/>
  <c r="AI40" i="14"/>
  <c r="M20" i="2" s="1"/>
  <c r="AC41" i="14"/>
  <c r="AI41" i="14"/>
  <c r="AC42" i="14"/>
  <c r="AC43" i="14"/>
  <c r="AC44" i="14"/>
  <c r="AC45" i="14"/>
  <c r="B62" i="14"/>
  <c r="N62" i="14"/>
  <c r="O62" i="14" s="1"/>
  <c r="P62" i="14"/>
  <c r="U62" i="14" s="1"/>
  <c r="G20" i="2" s="1"/>
  <c r="F65" i="14"/>
  <c r="Q65" i="14" s="1"/>
  <c r="S62" i="14"/>
  <c r="T62" i="14" s="1"/>
  <c r="B1" i="12"/>
  <c r="P13" i="12"/>
  <c r="U13" i="12"/>
  <c r="P14" i="12"/>
  <c r="U14" i="12"/>
  <c r="AB14" i="12"/>
  <c r="P15" i="12"/>
  <c r="U15" i="12"/>
  <c r="P16" i="12"/>
  <c r="U16" i="12"/>
  <c r="P17" i="12"/>
  <c r="U17" i="12"/>
  <c r="P18" i="12"/>
  <c r="U18" i="12"/>
  <c r="P19" i="12"/>
  <c r="U19" i="12"/>
  <c r="P20" i="12"/>
  <c r="U20" i="12"/>
  <c r="P21" i="12"/>
  <c r="U21" i="12"/>
  <c r="P22" i="12"/>
  <c r="U22" i="12"/>
  <c r="P23" i="12"/>
  <c r="U23" i="12"/>
  <c r="P24" i="12"/>
  <c r="U24" i="12"/>
  <c r="P25" i="12"/>
  <c r="U25" i="12"/>
  <c r="P26" i="12"/>
  <c r="U26" i="12"/>
  <c r="P27" i="12"/>
  <c r="U27" i="12"/>
  <c r="P28" i="12"/>
  <c r="U28" i="12"/>
  <c r="P29" i="12"/>
  <c r="U29" i="12"/>
  <c r="P30" i="12"/>
  <c r="U30" i="12"/>
  <c r="P31" i="12"/>
  <c r="U31" i="12"/>
  <c r="P32" i="12"/>
  <c r="U32" i="12"/>
  <c r="P33" i="12"/>
  <c r="U33" i="12"/>
  <c r="P34" i="12"/>
  <c r="U34" i="12"/>
  <c r="P35" i="12"/>
  <c r="U35" i="12"/>
  <c r="P36" i="12"/>
  <c r="U36" i="12"/>
  <c r="P37" i="12"/>
  <c r="U37" i="12"/>
  <c r="P38" i="12"/>
  <c r="U38" i="12"/>
  <c r="P39" i="12"/>
  <c r="U39" i="12"/>
  <c r="P40" i="12"/>
  <c r="U40" i="12"/>
  <c r="P41" i="12"/>
  <c r="U41" i="12"/>
  <c r="P42" i="12"/>
  <c r="U42" i="12"/>
  <c r="P43" i="12"/>
  <c r="U43" i="12"/>
  <c r="P44" i="12"/>
  <c r="U44" i="12"/>
  <c r="P45" i="12"/>
  <c r="U45" i="12"/>
  <c r="P46" i="12"/>
  <c r="U46" i="12"/>
  <c r="P47" i="12"/>
  <c r="U47" i="12"/>
  <c r="P48" i="12"/>
  <c r="U48" i="12"/>
  <c r="P49" i="12"/>
  <c r="U49" i="12"/>
  <c r="P50" i="12"/>
  <c r="U50" i="12"/>
  <c r="P60" i="12"/>
  <c r="U60" i="12"/>
  <c r="N62" i="12"/>
  <c r="O62" i="12" s="1"/>
  <c r="F65" i="12"/>
  <c r="Q65" i="12" s="1"/>
  <c r="U62" i="12"/>
  <c r="B1" i="13"/>
  <c r="AC13" i="13"/>
  <c r="AC14" i="13"/>
  <c r="AC15" i="13"/>
  <c r="AC16" i="13"/>
  <c r="AC17" i="13"/>
  <c r="AC18" i="13"/>
  <c r="AC19" i="13"/>
  <c r="AC20" i="13"/>
  <c r="AC21" i="13"/>
  <c r="AC22" i="13"/>
  <c r="AC23" i="13"/>
  <c r="AC24" i="13"/>
  <c r="AC25" i="13"/>
  <c r="AC26" i="13"/>
  <c r="AC27" i="13"/>
  <c r="AC28" i="13"/>
  <c r="AC29" i="13"/>
  <c r="AC30" i="13"/>
  <c r="AC31" i="13"/>
  <c r="AC32" i="13"/>
  <c r="AC33" i="13"/>
  <c r="AC34" i="13"/>
  <c r="AC35" i="13"/>
  <c r="AC36" i="13"/>
  <c r="AC37" i="13"/>
  <c r="AC38" i="13"/>
  <c r="AC39" i="13"/>
  <c r="AC40" i="13"/>
  <c r="AI40" i="13"/>
  <c r="AC41" i="13"/>
  <c r="AI41" i="13"/>
  <c r="AC42" i="13"/>
  <c r="AC43" i="13"/>
  <c r="AC44" i="13"/>
  <c r="AC45" i="13"/>
  <c r="B62" i="13"/>
  <c r="P62" i="13"/>
  <c r="U62" i="13" s="1"/>
  <c r="G18" i="2" s="1"/>
  <c r="F65" i="13"/>
  <c r="Q65" i="13" s="1"/>
  <c r="B1" i="11"/>
  <c r="AC13" i="11"/>
  <c r="AC14" i="11"/>
  <c r="AC15" i="11"/>
  <c r="AC16" i="11"/>
  <c r="AC17" i="11"/>
  <c r="AC18" i="11"/>
  <c r="AC19" i="11"/>
  <c r="AC20" i="11"/>
  <c r="AC21" i="11"/>
  <c r="AC22" i="11"/>
  <c r="AC23" i="11"/>
  <c r="AC24" i="11"/>
  <c r="AC25" i="11"/>
  <c r="AC26" i="11"/>
  <c r="AC27" i="11"/>
  <c r="AC28" i="11"/>
  <c r="AC29" i="11"/>
  <c r="AC30" i="11"/>
  <c r="AC31" i="11"/>
  <c r="AC32" i="11"/>
  <c r="AC33" i="11"/>
  <c r="AC34" i="11"/>
  <c r="AC35" i="11"/>
  <c r="AC36" i="11"/>
  <c r="AC37" i="11"/>
  <c r="AC38" i="11"/>
  <c r="AC39" i="11"/>
  <c r="AC40" i="11"/>
  <c r="AI40" i="11"/>
  <c r="AC41" i="11"/>
  <c r="AI41" i="11"/>
  <c r="AC42" i="11"/>
  <c r="P60" i="11"/>
  <c r="U60" i="11" s="1"/>
  <c r="AC43" i="11"/>
  <c r="AC44" i="11"/>
  <c r="AC45" i="11"/>
  <c r="B62" i="11"/>
  <c r="N62" i="11"/>
  <c r="O62" i="11" s="1"/>
  <c r="S62" i="11"/>
  <c r="T62" i="11" s="1"/>
  <c r="B1" i="10"/>
  <c r="AC13" i="10"/>
  <c r="AC14" i="10"/>
  <c r="AC15" i="10"/>
  <c r="AC16" i="10"/>
  <c r="AC17" i="10"/>
  <c r="AC18" i="10"/>
  <c r="AC19" i="10"/>
  <c r="AC20" i="10"/>
  <c r="AC21" i="10"/>
  <c r="AC22" i="10"/>
  <c r="AC23" i="10"/>
  <c r="AC24" i="10"/>
  <c r="AC25" i="10"/>
  <c r="AC26" i="10"/>
  <c r="AC27" i="10"/>
  <c r="AC28" i="10"/>
  <c r="AC29" i="10"/>
  <c r="AC30" i="10"/>
  <c r="AC31" i="10"/>
  <c r="AC32" i="10"/>
  <c r="AC33" i="10"/>
  <c r="AC34" i="10"/>
  <c r="AC35" i="10"/>
  <c r="AC36" i="10"/>
  <c r="AC37" i="10"/>
  <c r="AC38" i="10"/>
  <c r="AC39" i="10"/>
  <c r="AC40" i="10"/>
  <c r="AI40" i="10"/>
  <c r="AC41" i="10"/>
  <c r="AI41" i="10"/>
  <c r="AC42" i="10"/>
  <c r="P60" i="10"/>
  <c r="AC43" i="10"/>
  <c r="AC44" i="10"/>
  <c r="AC45" i="10"/>
  <c r="B62" i="10"/>
  <c r="N62" i="10"/>
  <c r="O62" i="10" s="1"/>
  <c r="P62" i="10"/>
  <c r="F65" i="10"/>
  <c r="Q65" i="10" s="1"/>
  <c r="B1" i="24"/>
  <c r="P13" i="24"/>
  <c r="X13" i="24"/>
  <c r="P14" i="24"/>
  <c r="X14" i="24"/>
  <c r="P15" i="24"/>
  <c r="X15" i="24"/>
  <c r="P16" i="24"/>
  <c r="X16" i="24"/>
  <c r="P17" i="24"/>
  <c r="X17" i="24"/>
  <c r="P18" i="24"/>
  <c r="X18" i="24"/>
  <c r="P19" i="24"/>
  <c r="X19" i="24"/>
  <c r="P20" i="24"/>
  <c r="X20" i="24"/>
  <c r="P21" i="24"/>
  <c r="X21" i="24"/>
  <c r="P22" i="24"/>
  <c r="X22" i="24"/>
  <c r="P23" i="24"/>
  <c r="X23" i="24"/>
  <c r="P24" i="24"/>
  <c r="X24" i="24"/>
  <c r="P25" i="24"/>
  <c r="X25" i="24"/>
  <c r="P26" i="24"/>
  <c r="X26" i="24"/>
  <c r="P27" i="24"/>
  <c r="X27" i="24"/>
  <c r="P28" i="24"/>
  <c r="X28" i="24"/>
  <c r="P29" i="24"/>
  <c r="X29" i="24"/>
  <c r="P30" i="24"/>
  <c r="X30" i="24"/>
  <c r="P31" i="24"/>
  <c r="X31" i="24"/>
  <c r="P32" i="24"/>
  <c r="X32" i="24"/>
  <c r="P33" i="24"/>
  <c r="X33" i="24"/>
  <c r="P34" i="24"/>
  <c r="X34" i="24"/>
  <c r="P35" i="24"/>
  <c r="X35" i="24"/>
  <c r="P36" i="24"/>
  <c r="X36" i="24"/>
  <c r="P37" i="24"/>
  <c r="X37" i="24"/>
  <c r="P38" i="24"/>
  <c r="X38" i="24"/>
  <c r="P39" i="24"/>
  <c r="X39" i="24"/>
  <c r="P40" i="24"/>
  <c r="X40" i="24"/>
  <c r="AD40" i="24"/>
  <c r="M15" i="2" s="1"/>
  <c r="P41" i="24"/>
  <c r="X41" i="24"/>
  <c r="AD41" i="24"/>
  <c r="P42" i="24"/>
  <c r="X42" i="24"/>
  <c r="P43" i="24"/>
  <c r="P44" i="24"/>
  <c r="P45" i="24"/>
  <c r="P46" i="24"/>
  <c r="P47" i="24"/>
  <c r="P48" i="24"/>
  <c r="P49" i="24"/>
  <c r="P50" i="24"/>
  <c r="P60" i="24"/>
  <c r="X43" i="24"/>
  <c r="X44" i="24"/>
  <c r="X45" i="24"/>
  <c r="B62" i="24"/>
  <c r="N62" i="24"/>
  <c r="O62" i="24" s="1"/>
  <c r="P62" i="24"/>
  <c r="G15" i="2" s="1"/>
  <c r="F65" i="24"/>
  <c r="Q65" i="24" s="1"/>
  <c r="B1" i="9"/>
  <c r="P13" i="9"/>
  <c r="U13" i="9" s="1"/>
  <c r="AC13" i="9"/>
  <c r="P14" i="9"/>
  <c r="U14" i="9" s="1"/>
  <c r="AC14" i="9"/>
  <c r="P15" i="9"/>
  <c r="U15" i="9" s="1"/>
  <c r="AC15" i="9"/>
  <c r="P16" i="9"/>
  <c r="U16" i="9" s="1"/>
  <c r="AC16" i="9"/>
  <c r="P17" i="9"/>
  <c r="U17" i="9" s="1"/>
  <c r="AC17" i="9"/>
  <c r="P18" i="9"/>
  <c r="U18" i="9" s="1"/>
  <c r="AC18" i="9"/>
  <c r="P19" i="9"/>
  <c r="U19" i="9" s="1"/>
  <c r="AC19" i="9"/>
  <c r="P20" i="9"/>
  <c r="U20" i="9" s="1"/>
  <c r="AC20" i="9"/>
  <c r="P21" i="9"/>
  <c r="U21" i="9" s="1"/>
  <c r="AC21" i="9"/>
  <c r="P22" i="9"/>
  <c r="U22" i="9" s="1"/>
  <c r="AC22" i="9"/>
  <c r="P23" i="9"/>
  <c r="U23" i="9" s="1"/>
  <c r="AC23" i="9"/>
  <c r="P24" i="9"/>
  <c r="U24" i="9" s="1"/>
  <c r="AC24" i="9"/>
  <c r="P25" i="9"/>
  <c r="U25" i="9" s="1"/>
  <c r="AC25" i="9"/>
  <c r="P26" i="9"/>
  <c r="U26" i="9" s="1"/>
  <c r="AC26" i="9"/>
  <c r="P27" i="9"/>
  <c r="U27" i="9" s="1"/>
  <c r="AC27" i="9"/>
  <c r="P28" i="9"/>
  <c r="U28" i="9" s="1"/>
  <c r="AC28" i="9"/>
  <c r="P29" i="9"/>
  <c r="U29" i="9" s="1"/>
  <c r="AC29" i="9"/>
  <c r="P30" i="9"/>
  <c r="U30" i="9" s="1"/>
  <c r="AC30" i="9"/>
  <c r="P31" i="9"/>
  <c r="U31" i="9" s="1"/>
  <c r="AC31" i="9"/>
  <c r="P32" i="9"/>
  <c r="U32" i="9" s="1"/>
  <c r="AC32" i="9"/>
  <c r="P33" i="9"/>
  <c r="U33" i="9" s="1"/>
  <c r="AC33" i="9"/>
  <c r="P34" i="9"/>
  <c r="U34" i="9" s="1"/>
  <c r="AC34" i="9"/>
  <c r="P35" i="9"/>
  <c r="U35" i="9" s="1"/>
  <c r="AC35" i="9"/>
  <c r="P36" i="9"/>
  <c r="U36" i="9" s="1"/>
  <c r="AC36" i="9"/>
  <c r="P37" i="9"/>
  <c r="U37" i="9" s="1"/>
  <c r="AC37" i="9"/>
  <c r="P38" i="9"/>
  <c r="U38" i="9" s="1"/>
  <c r="AC38" i="9"/>
  <c r="AI38" i="9"/>
  <c r="P39" i="9"/>
  <c r="U39" i="9" s="1"/>
  <c r="AC39" i="9"/>
  <c r="AI39" i="9"/>
  <c r="P40" i="9"/>
  <c r="U40" i="9" s="1"/>
  <c r="AC40" i="9"/>
  <c r="P41" i="9"/>
  <c r="U41" i="9" s="1"/>
  <c r="P42" i="9"/>
  <c r="U42" i="9" s="1"/>
  <c r="P43" i="9"/>
  <c r="U43" i="9" s="1"/>
  <c r="P44" i="9"/>
  <c r="U44" i="9" s="1"/>
  <c r="P45" i="9"/>
  <c r="U45" i="9" s="1"/>
  <c r="P46" i="9"/>
  <c r="U46" i="9" s="1"/>
  <c r="P47" i="9"/>
  <c r="U47" i="9" s="1"/>
  <c r="P48" i="9"/>
  <c r="U48" i="9" s="1"/>
  <c r="P58" i="9"/>
  <c r="U58" i="9" s="1"/>
  <c r="AC41" i="9"/>
  <c r="AC42" i="9"/>
  <c r="AC43" i="9"/>
  <c r="B60" i="9"/>
  <c r="F63" i="9"/>
  <c r="Q63" i="9" s="1"/>
  <c r="S60" i="9"/>
  <c r="T60" i="9" s="1"/>
  <c r="B1048" i="9"/>
  <c r="B1" i="8"/>
  <c r="P13" i="8"/>
  <c r="AC13" i="8"/>
  <c r="P14" i="8"/>
  <c r="AC14" i="8"/>
  <c r="P15" i="8"/>
  <c r="AC15" i="8"/>
  <c r="P16" i="8"/>
  <c r="AC16" i="8"/>
  <c r="P17" i="8"/>
  <c r="AC17" i="8"/>
  <c r="P18" i="8"/>
  <c r="AC18" i="8"/>
  <c r="P19" i="8"/>
  <c r="AC19" i="8"/>
  <c r="P20" i="8"/>
  <c r="AC20" i="8"/>
  <c r="P21" i="8"/>
  <c r="AC21" i="8"/>
  <c r="P22" i="8"/>
  <c r="AC22" i="8"/>
  <c r="P23" i="8"/>
  <c r="AC23" i="8"/>
  <c r="P24" i="8"/>
  <c r="AC24" i="8"/>
  <c r="P25" i="8"/>
  <c r="AC25" i="8"/>
  <c r="P26" i="8"/>
  <c r="AC26" i="8"/>
  <c r="P27" i="8"/>
  <c r="AC27" i="8"/>
  <c r="P28" i="8"/>
  <c r="AC28" i="8"/>
  <c r="P29" i="8"/>
  <c r="AC29" i="8"/>
  <c r="P30" i="8"/>
  <c r="AC30" i="8"/>
  <c r="P31" i="8"/>
  <c r="AC31" i="8"/>
  <c r="P32" i="8"/>
  <c r="AC32" i="8"/>
  <c r="P33" i="8"/>
  <c r="AC33" i="8"/>
  <c r="P34" i="8"/>
  <c r="AC34" i="8"/>
  <c r="P35" i="8"/>
  <c r="AC35" i="8"/>
  <c r="P36" i="8"/>
  <c r="AC36" i="8"/>
  <c r="P37" i="8"/>
  <c r="AC37" i="8"/>
  <c r="P38" i="8"/>
  <c r="AC38" i="8"/>
  <c r="P39" i="8"/>
  <c r="AC39" i="8"/>
  <c r="P40" i="8"/>
  <c r="AC40" i="8"/>
  <c r="P41" i="8"/>
  <c r="AC41" i="8"/>
  <c r="AI41" i="8"/>
  <c r="P42" i="8"/>
  <c r="AC42" i="8"/>
  <c r="AI42" i="8"/>
  <c r="P43" i="8"/>
  <c r="AC43" i="8"/>
  <c r="P44" i="8"/>
  <c r="P45" i="8"/>
  <c r="P46" i="8"/>
  <c r="P47" i="8"/>
  <c r="P48" i="8"/>
  <c r="P49" i="8"/>
  <c r="P50" i="8"/>
  <c r="P51" i="8"/>
  <c r="P61" i="8"/>
  <c r="AC44" i="8"/>
  <c r="AC45" i="8"/>
  <c r="AC46" i="8"/>
  <c r="AB61" i="8"/>
  <c r="B63" i="8"/>
  <c r="P63" i="8"/>
  <c r="F66" i="8"/>
  <c r="Q66" i="8" s="1"/>
  <c r="B1" i="19"/>
  <c r="AC13" i="19"/>
  <c r="AC14" i="19"/>
  <c r="AC15" i="19"/>
  <c r="AC16" i="19"/>
  <c r="AC17" i="19"/>
  <c r="AC18" i="19"/>
  <c r="AC19" i="19"/>
  <c r="AC20" i="19"/>
  <c r="AC21" i="19"/>
  <c r="AC22" i="19"/>
  <c r="AC23" i="19"/>
  <c r="AC24" i="19"/>
  <c r="AC25" i="19"/>
  <c r="AC26" i="19"/>
  <c r="AC27" i="19"/>
  <c r="AC28" i="19"/>
  <c r="AC29" i="19"/>
  <c r="AC30" i="19"/>
  <c r="AC31" i="19"/>
  <c r="AC32" i="19"/>
  <c r="AC33" i="19"/>
  <c r="AC34" i="19"/>
  <c r="AC35" i="19"/>
  <c r="AC36" i="19"/>
  <c r="AC37" i="19"/>
  <c r="AI37" i="19"/>
  <c r="M12" i="2" s="1"/>
  <c r="AC38" i="19"/>
  <c r="AI38" i="19"/>
  <c r="AC39" i="19"/>
  <c r="AC40" i="19"/>
  <c r="AC41" i="19"/>
  <c r="B58" i="19"/>
  <c r="N58" i="19"/>
  <c r="O58" i="19" s="1"/>
  <c r="P58" i="19"/>
  <c r="U58" i="19" s="1"/>
  <c r="G12" i="2" s="1"/>
  <c r="F61" i="19"/>
  <c r="Q61" i="19" s="1"/>
  <c r="S58" i="19"/>
  <c r="T58" i="19" s="1"/>
  <c r="B1" i="18"/>
  <c r="AC13" i="18"/>
  <c r="AC14" i="18"/>
  <c r="AC15" i="18"/>
  <c r="AC16" i="18"/>
  <c r="AC17" i="18"/>
  <c r="AC18" i="18"/>
  <c r="AC19" i="18"/>
  <c r="AC20" i="18"/>
  <c r="AC21" i="18"/>
  <c r="AC22" i="18"/>
  <c r="AC23" i="18"/>
  <c r="AC24" i="18"/>
  <c r="AC25" i="18"/>
  <c r="AC26" i="18"/>
  <c r="AC27" i="18"/>
  <c r="AC28" i="18"/>
  <c r="AC29" i="18"/>
  <c r="AC30" i="18"/>
  <c r="AC31" i="18"/>
  <c r="AC32" i="18"/>
  <c r="AC33" i="18"/>
  <c r="AC34" i="18"/>
  <c r="AC35" i="18"/>
  <c r="AC36" i="18"/>
  <c r="AC37" i="18"/>
  <c r="AC38" i="18"/>
  <c r="AC39" i="18"/>
  <c r="AC40" i="18"/>
  <c r="AC41" i="18"/>
  <c r="AC42" i="18"/>
  <c r="AC43" i="18"/>
  <c r="AC44" i="18"/>
  <c r="AI44" i="18"/>
  <c r="M11" i="2" s="1"/>
  <c r="AC45" i="18"/>
  <c r="AI45" i="18"/>
  <c r="AC46" i="18"/>
  <c r="B63" i="18"/>
  <c r="P63" i="18"/>
  <c r="U63" i="18" s="1"/>
  <c r="G11" i="2" s="1"/>
  <c r="S63" i="18"/>
  <c r="T63" i="18" s="1"/>
  <c r="A1" i="23"/>
  <c r="B1" i="5"/>
  <c r="D8" i="5"/>
  <c r="J8" i="5"/>
  <c r="A4" i="33" s="1"/>
  <c r="D4" i="33" s="1"/>
  <c r="U8" i="5"/>
  <c r="AF8" i="5"/>
  <c r="D9" i="5"/>
  <c r="J9" i="5"/>
  <c r="A5" i="33" s="1"/>
  <c r="D5" i="33" s="1"/>
  <c r="U9" i="5"/>
  <c r="AF9" i="5"/>
  <c r="D10" i="5"/>
  <c r="J10" i="5"/>
  <c r="A6" i="33" s="1"/>
  <c r="D6" i="33" s="1"/>
  <c r="U10" i="5"/>
  <c r="AF10" i="5"/>
  <c r="D11" i="5"/>
  <c r="J11" i="5"/>
  <c r="A7" i="33" s="1"/>
  <c r="D7" i="33" s="1"/>
  <c r="U11" i="5"/>
  <c r="AF11" i="5"/>
  <c r="D12" i="5"/>
  <c r="J12" i="5"/>
  <c r="A8" i="33" s="1"/>
  <c r="D8" i="33" s="1"/>
  <c r="U12" i="5"/>
  <c r="AF12" i="5"/>
  <c r="D13" i="5"/>
  <c r="J13" i="5"/>
  <c r="A9" i="33" s="1"/>
  <c r="D9" i="33" s="1"/>
  <c r="U13" i="5"/>
  <c r="AF13" i="5"/>
  <c r="D14" i="5"/>
  <c r="J14" i="5"/>
  <c r="A10" i="33" s="1"/>
  <c r="D10" i="33" s="1"/>
  <c r="U14" i="5"/>
  <c r="AF14" i="5"/>
  <c r="D15" i="5"/>
  <c r="J15" i="5"/>
  <c r="A11" i="33" s="1"/>
  <c r="D11" i="33" s="1"/>
  <c r="U15" i="5"/>
  <c r="AF15" i="5"/>
  <c r="D16" i="5"/>
  <c r="J16" i="5"/>
  <c r="A12" i="33" s="1"/>
  <c r="D12" i="33" s="1"/>
  <c r="U16" i="5"/>
  <c r="X16" i="5"/>
  <c r="AF16" i="5"/>
  <c r="D17" i="5"/>
  <c r="J17" i="5"/>
  <c r="A13" i="33" s="1"/>
  <c r="D13" i="33" s="1"/>
  <c r="U17" i="5"/>
  <c r="AF17" i="5"/>
  <c r="D18" i="5"/>
  <c r="J18" i="5"/>
  <c r="A14" i="33" s="1"/>
  <c r="D14" i="33" s="1"/>
  <c r="U18" i="5"/>
  <c r="AF18" i="5"/>
  <c r="D19" i="5"/>
  <c r="J19" i="5"/>
  <c r="A15" i="33" s="1"/>
  <c r="D15" i="33" s="1"/>
  <c r="U19" i="5"/>
  <c r="AF19" i="5"/>
  <c r="D20" i="5"/>
  <c r="J20" i="5"/>
  <c r="A16" i="33" s="1"/>
  <c r="D16" i="33" s="1"/>
  <c r="U20" i="5"/>
  <c r="AF20" i="5"/>
  <c r="D21" i="5"/>
  <c r="J21" i="5"/>
  <c r="A17" i="33" s="1"/>
  <c r="D17" i="33" s="1"/>
  <c r="U21" i="5"/>
  <c r="AF21" i="5"/>
  <c r="D22" i="5"/>
  <c r="J22" i="5"/>
  <c r="A18" i="33" s="1"/>
  <c r="D18" i="33" s="1"/>
  <c r="U22" i="5"/>
  <c r="AF22" i="5"/>
  <c r="D23" i="5"/>
  <c r="J23" i="5"/>
  <c r="A19" i="33" s="1"/>
  <c r="D19" i="33" s="1"/>
  <c r="U23" i="5"/>
  <c r="AF23" i="5"/>
  <c r="D24" i="5"/>
  <c r="J24" i="5"/>
  <c r="A20" i="33" s="1"/>
  <c r="D20" i="33" s="1"/>
  <c r="U24" i="5"/>
  <c r="AF24" i="5"/>
  <c r="D25" i="5"/>
  <c r="J25" i="5"/>
  <c r="A21" i="33" s="1"/>
  <c r="D21" i="33" s="1"/>
  <c r="U25" i="5"/>
  <c r="AF25" i="5"/>
  <c r="D26" i="5"/>
  <c r="J26" i="5"/>
  <c r="A22" i="33" s="1"/>
  <c r="D22" i="33" s="1"/>
  <c r="U26" i="5"/>
  <c r="AF26" i="5"/>
  <c r="D27" i="5"/>
  <c r="J27" i="5"/>
  <c r="A23" i="33" s="1"/>
  <c r="D23" i="33" s="1"/>
  <c r="U27" i="5"/>
  <c r="AF27" i="5"/>
  <c r="D28" i="5"/>
  <c r="J28" i="5"/>
  <c r="A24" i="33" s="1"/>
  <c r="D24" i="33" s="1"/>
  <c r="U28" i="5"/>
  <c r="AF28" i="5"/>
  <c r="D29" i="5"/>
  <c r="J29" i="5"/>
  <c r="A25" i="33" s="1"/>
  <c r="D25" i="33" s="1"/>
  <c r="U29" i="5"/>
  <c r="AF29" i="5"/>
  <c r="D30" i="5"/>
  <c r="J30" i="5"/>
  <c r="A26" i="33" s="1"/>
  <c r="D26" i="33" s="1"/>
  <c r="U30" i="5"/>
  <c r="AF30" i="5"/>
  <c r="D31" i="5"/>
  <c r="J31" i="5"/>
  <c r="A27" i="33" s="1"/>
  <c r="D27" i="33" s="1"/>
  <c r="U31" i="5"/>
  <c r="AF31" i="5"/>
  <c r="D32" i="5"/>
  <c r="J32" i="5"/>
  <c r="A28" i="33" s="1"/>
  <c r="D28" i="33" s="1"/>
  <c r="U32" i="5"/>
  <c r="AF32" i="5"/>
  <c r="D33" i="5"/>
  <c r="J33" i="5"/>
  <c r="A29" i="33" s="1"/>
  <c r="D29" i="33" s="1"/>
  <c r="U33" i="5"/>
  <c r="AF33" i="5"/>
  <c r="D34" i="5"/>
  <c r="J34" i="5"/>
  <c r="A30" i="33" s="1"/>
  <c r="D30" i="33" s="1"/>
  <c r="U34" i="5"/>
  <c r="AF34" i="5"/>
  <c r="D35" i="5"/>
  <c r="J35" i="5"/>
  <c r="A31" i="33" s="1"/>
  <c r="D31" i="33" s="1"/>
  <c r="U35" i="5"/>
  <c r="AF35" i="5"/>
  <c r="D36" i="5"/>
  <c r="J36" i="5"/>
  <c r="A32" i="33" s="1"/>
  <c r="D32" i="33" s="1"/>
  <c r="U36" i="5"/>
  <c r="AF36" i="5"/>
  <c r="D37" i="5"/>
  <c r="J37" i="5"/>
  <c r="A33" i="33" s="1"/>
  <c r="D33" i="33" s="1"/>
  <c r="U37" i="5"/>
  <c r="AF37" i="5"/>
  <c r="D38" i="5"/>
  <c r="J38" i="5"/>
  <c r="A34" i="33" s="1"/>
  <c r="D34" i="33" s="1"/>
  <c r="U38" i="5"/>
  <c r="AF38" i="5"/>
  <c r="D39" i="5"/>
  <c r="J39" i="5"/>
  <c r="A35" i="33" s="1"/>
  <c r="D35" i="33" s="1"/>
  <c r="U39" i="5"/>
  <c r="AF39" i="5"/>
  <c r="D40" i="5"/>
  <c r="J40" i="5"/>
  <c r="A36" i="33" s="1"/>
  <c r="D36" i="33" s="1"/>
  <c r="U40" i="5"/>
  <c r="AF40" i="5"/>
  <c r="D41" i="5"/>
  <c r="J41" i="5"/>
  <c r="A37" i="33" s="1"/>
  <c r="D37" i="33" s="1"/>
  <c r="U41" i="5"/>
  <c r="AF41" i="5"/>
  <c r="D42" i="5"/>
  <c r="J42" i="5"/>
  <c r="A38" i="33" s="1"/>
  <c r="D38" i="33" s="1"/>
  <c r="U42" i="5"/>
  <c r="AF42" i="5"/>
  <c r="D43" i="5"/>
  <c r="J43" i="5"/>
  <c r="A39" i="33" s="1"/>
  <c r="D39" i="33" s="1"/>
  <c r="U43" i="5"/>
  <c r="AF43" i="5"/>
  <c r="D44" i="5"/>
  <c r="J44" i="5"/>
  <c r="A40" i="33" s="1"/>
  <c r="D40" i="33" s="1"/>
  <c r="U44" i="5"/>
  <c r="AF44" i="5"/>
  <c r="D45" i="5"/>
  <c r="J45" i="5"/>
  <c r="A41" i="33" s="1"/>
  <c r="D41" i="33" s="1"/>
  <c r="U45" i="5"/>
  <c r="X45" i="5"/>
  <c r="AF45" i="5"/>
  <c r="D46" i="5"/>
  <c r="J46" i="5"/>
  <c r="A42" i="33" s="1"/>
  <c r="D42" i="33" s="1"/>
  <c r="U46" i="5"/>
  <c r="AF46" i="5"/>
  <c r="D47" i="5"/>
  <c r="J47" i="5"/>
  <c r="A43" i="33" s="1"/>
  <c r="D43" i="33" s="1"/>
  <c r="U47" i="5"/>
  <c r="D48" i="5"/>
  <c r="J48" i="5"/>
  <c r="A44" i="33" s="1"/>
  <c r="D44" i="33" s="1"/>
  <c r="D49" i="5"/>
  <c r="B1" i="3"/>
  <c r="I63" i="3"/>
  <c r="B1" i="2"/>
  <c r="A10" i="2"/>
  <c r="A11" i="2"/>
  <c r="A12" i="2"/>
  <c r="A13" i="2"/>
  <c r="M13" i="2"/>
  <c r="A14" i="2"/>
  <c r="M14" i="2"/>
  <c r="A16" i="2"/>
  <c r="M16" i="2"/>
  <c r="A17" i="2"/>
  <c r="M17" i="2"/>
  <c r="A18" i="2"/>
  <c r="M18" i="2"/>
  <c r="A19" i="2"/>
  <c r="G19" i="2"/>
  <c r="A20" i="2"/>
  <c r="A21" i="2"/>
  <c r="M21" i="2"/>
  <c r="A22" i="2"/>
  <c r="A23" i="2"/>
  <c r="M23" i="2"/>
  <c r="B31" i="2"/>
  <c r="E32" i="2" s="1"/>
  <c r="B35" i="2"/>
  <c r="I70" i="2"/>
  <c r="I72" i="2"/>
  <c r="H83" i="2"/>
  <c r="G91" i="2"/>
  <c r="J91" i="2" s="1"/>
  <c r="B1" i="1"/>
  <c r="B2" i="1"/>
  <c r="C75" i="3"/>
  <c r="U59" i="17"/>
  <c r="D61" i="18"/>
  <c r="N61" i="18" s="1"/>
  <c r="C13" i="24"/>
  <c r="U13" i="24" s="1"/>
  <c r="C13" i="10"/>
  <c r="Z13" i="10" s="1"/>
  <c r="C26" i="10"/>
  <c r="AA26" i="10" s="1"/>
  <c r="C46" i="16"/>
  <c r="Z46" i="16" s="1"/>
  <c r="C13" i="8"/>
  <c r="AA13" i="8" s="1"/>
  <c r="E116" i="3" l="1"/>
  <c r="F116" i="3" s="1"/>
  <c r="G116" i="3" s="1"/>
  <c r="E108" i="3"/>
  <c r="F108" i="3" s="1"/>
  <c r="G108" i="3" s="1"/>
  <c r="E127" i="3"/>
  <c r="F127" i="3" s="1"/>
  <c r="E122" i="3"/>
  <c r="F122" i="3" s="1"/>
  <c r="G122" i="3" s="1"/>
  <c r="E114" i="3"/>
  <c r="F114" i="3" s="1"/>
  <c r="G114" i="3" s="1"/>
  <c r="E110" i="3"/>
  <c r="F110" i="3" s="1"/>
  <c r="G110" i="3" s="1"/>
  <c r="E126" i="3"/>
  <c r="F126" i="3" s="1"/>
  <c r="G126" i="3" s="1"/>
  <c r="G16" i="3"/>
  <c r="D56" i="3"/>
  <c r="E56" i="3" s="1"/>
  <c r="H12" i="3"/>
  <c r="H31" i="3"/>
  <c r="D54" i="3"/>
  <c r="E54" i="3" s="1"/>
  <c r="G32" i="3"/>
  <c r="D76" i="3"/>
  <c r="E76" i="3" s="1"/>
  <c r="F76" i="3" s="1"/>
  <c r="G76" i="3" s="1"/>
  <c r="D55" i="3"/>
  <c r="E55" i="3" s="1"/>
  <c r="C20" i="10"/>
  <c r="AA20" i="10" s="1"/>
  <c r="R35" i="23"/>
  <c r="N48" i="5"/>
  <c r="O48" i="5" s="1"/>
  <c r="AD38" i="5"/>
  <c r="AE38" i="5" s="1"/>
  <c r="C34" i="10"/>
  <c r="AA34" i="10" s="1"/>
  <c r="C34" i="24"/>
  <c r="U34" i="24" s="1"/>
  <c r="S48" i="23"/>
  <c r="C44" i="24"/>
  <c r="U44" i="24" s="1"/>
  <c r="S47" i="23"/>
  <c r="C44" i="8"/>
  <c r="AA44" i="8" s="1"/>
  <c r="C31" i="5"/>
  <c r="C35" i="14" s="1"/>
  <c r="AA35" i="14" s="1"/>
  <c r="S13" i="5"/>
  <c r="D17" i="8" s="1"/>
  <c r="N17" i="8" s="1"/>
  <c r="O17" i="8" s="1"/>
  <c r="N37" i="5"/>
  <c r="O37" i="5" s="1"/>
  <c r="N29" i="5"/>
  <c r="O29" i="5" s="1"/>
  <c r="S21" i="5"/>
  <c r="T21" i="5" s="1"/>
  <c r="C52" i="10"/>
  <c r="AA52" i="10" s="1"/>
  <c r="P46" i="23"/>
  <c r="C26" i="12"/>
  <c r="V26" i="12" s="1"/>
  <c r="AD17" i="5"/>
  <c r="AE17" i="5" s="1"/>
  <c r="D50" i="14"/>
  <c r="N50" i="14" s="1"/>
  <c r="O50" i="14" s="1"/>
  <c r="D48" i="16"/>
  <c r="AB48" i="16" s="1"/>
  <c r="C27" i="12"/>
  <c r="V27" i="12" s="1"/>
  <c r="D53" i="12"/>
  <c r="N53" i="12" s="1"/>
  <c r="O53" i="12" s="1"/>
  <c r="AJ33" i="5"/>
  <c r="AK33" i="5" s="1"/>
  <c r="D48" i="17"/>
  <c r="N48" i="17" s="1"/>
  <c r="O48" i="17" s="1"/>
  <c r="S39" i="23"/>
  <c r="S23" i="23"/>
  <c r="C34" i="12"/>
  <c r="W34" i="12" s="1"/>
  <c r="L46" i="5"/>
  <c r="M46" i="5" s="1"/>
  <c r="C42" i="10"/>
  <c r="AA42" i="10" s="1"/>
  <c r="C50" i="10"/>
  <c r="AA50" i="10" s="1"/>
  <c r="AD46" i="5"/>
  <c r="AE46" i="5" s="1"/>
  <c r="AD39" i="5"/>
  <c r="AE39" i="5" s="1"/>
  <c r="P22" i="23"/>
  <c r="L52" i="5"/>
  <c r="M52" i="5" s="1"/>
  <c r="N59" i="10"/>
  <c r="O59" i="10" s="1"/>
  <c r="AB59" i="10"/>
  <c r="S59" i="10"/>
  <c r="T59" i="10" s="1"/>
  <c r="N15" i="5"/>
  <c r="O15" i="5" s="1"/>
  <c r="C50" i="16"/>
  <c r="AA50" i="16" s="1"/>
  <c r="AC46" i="5"/>
  <c r="S31" i="23"/>
  <c r="C50" i="12"/>
  <c r="W50" i="12" s="1"/>
  <c r="D14" i="12"/>
  <c r="S14" i="12" s="1"/>
  <c r="T14" i="12" s="1"/>
  <c r="AJ45" i="5"/>
  <c r="AK45" i="5" s="1"/>
  <c r="AD22" i="5"/>
  <c r="AE22" i="5" s="1"/>
  <c r="AD14" i="5"/>
  <c r="AE14" i="5" s="1"/>
  <c r="R10" i="23"/>
  <c r="S41" i="23"/>
  <c r="S15" i="23"/>
  <c r="T15" i="23" s="1"/>
  <c r="Y33" i="5"/>
  <c r="D37" i="10" s="1"/>
  <c r="N37" i="10" s="1"/>
  <c r="O37" i="10" s="1"/>
  <c r="Y17" i="5"/>
  <c r="D21" i="10" s="1"/>
  <c r="N21" i="10" s="1"/>
  <c r="O21" i="10" s="1"/>
  <c r="AD15" i="5"/>
  <c r="AE15" i="5" s="1"/>
  <c r="Y9" i="5"/>
  <c r="Z9" i="5" s="1"/>
  <c r="AD47" i="5"/>
  <c r="AE47" i="5" s="1"/>
  <c r="R50" i="23"/>
  <c r="Z55" i="9"/>
  <c r="AA55" i="9"/>
  <c r="G33" i="2"/>
  <c r="B39" i="2"/>
  <c r="I39" i="2" s="1"/>
  <c r="H20" i="3"/>
  <c r="D50" i="16"/>
  <c r="AB50" i="16" s="1"/>
  <c r="AJ44" i="5"/>
  <c r="AK44" i="5" s="1"/>
  <c r="AJ39" i="5"/>
  <c r="AK39" i="5" s="1"/>
  <c r="P25" i="23"/>
  <c r="Q25" i="23" s="1"/>
  <c r="D54" i="24"/>
  <c r="N54" i="24" s="1"/>
  <c r="O54" i="24" s="1"/>
  <c r="AD44" i="5"/>
  <c r="AE44" i="5" s="1"/>
  <c r="AD24" i="5"/>
  <c r="AE24" i="5" s="1"/>
  <c r="AD40" i="5"/>
  <c r="AE40" i="5" s="1"/>
  <c r="AJ29" i="5"/>
  <c r="AK29" i="5" s="1"/>
  <c r="H28" i="5"/>
  <c r="I28" i="5" s="1"/>
  <c r="O30" i="23"/>
  <c r="O22" i="23"/>
  <c r="C43" i="10"/>
  <c r="AA43" i="10" s="1"/>
  <c r="AJ23" i="5"/>
  <c r="AK23" i="5" s="1"/>
  <c r="AD23" i="5"/>
  <c r="AE23" i="5" s="1"/>
  <c r="AJ46" i="5"/>
  <c r="AK46" i="5" s="1"/>
  <c r="C48" i="10"/>
  <c r="AA48" i="10" s="1"/>
  <c r="O47" i="23"/>
  <c r="Q47" i="23" s="1"/>
  <c r="C35" i="8"/>
  <c r="Z35" i="8" s="1"/>
  <c r="C32" i="24"/>
  <c r="U32" i="24" s="1"/>
  <c r="C48" i="8"/>
  <c r="AA48" i="8" s="1"/>
  <c r="AJ31" i="5"/>
  <c r="AK31" i="5" s="1"/>
  <c r="AJ15" i="5"/>
  <c r="AK15" i="5" s="1"/>
  <c r="AD31" i="5"/>
  <c r="AE31" i="5" s="1"/>
  <c r="AJ47" i="5"/>
  <c r="AK47" i="5" s="1"/>
  <c r="S17" i="23"/>
  <c r="AH23" i="5"/>
  <c r="AI23" i="5" s="1"/>
  <c r="C13" i="9"/>
  <c r="Z13" i="9" s="1"/>
  <c r="G12" i="5"/>
  <c r="X49" i="17"/>
  <c r="Y49" i="17" s="1"/>
  <c r="C19" i="12"/>
  <c r="W19" i="12" s="1"/>
  <c r="D31" i="12"/>
  <c r="N31" i="12" s="1"/>
  <c r="O31" i="12" s="1"/>
  <c r="D44" i="14"/>
  <c r="N44" i="14" s="1"/>
  <c r="O44" i="14" s="1"/>
  <c r="C54" i="10"/>
  <c r="AA54" i="10" s="1"/>
  <c r="AI46" i="5"/>
  <c r="AD16" i="5"/>
  <c r="AE16" i="5" s="1"/>
  <c r="AJ13" i="5"/>
  <c r="AK13" i="5" s="1"/>
  <c r="X10" i="5"/>
  <c r="AD48" i="5"/>
  <c r="AE48" i="5" s="1"/>
  <c r="R43" i="23"/>
  <c r="O38" i="23"/>
  <c r="Q38" i="23" s="1"/>
  <c r="R31" i="23"/>
  <c r="T31" i="23" s="1"/>
  <c r="S25" i="23"/>
  <c r="R20" i="23"/>
  <c r="O14" i="23"/>
  <c r="Q14" i="23" s="1"/>
  <c r="C53" i="24"/>
  <c r="V53" i="24" s="1"/>
  <c r="C14" i="17"/>
  <c r="Z14" i="17" s="1"/>
  <c r="D23" i="12"/>
  <c r="N23" i="12" s="1"/>
  <c r="O23" i="12" s="1"/>
  <c r="AH33" i="5"/>
  <c r="D37" i="17" s="1"/>
  <c r="N37" i="17" s="1"/>
  <c r="O37" i="17" s="1"/>
  <c r="H36" i="5"/>
  <c r="I36" i="5" s="1"/>
  <c r="H20" i="5"/>
  <c r="I20" i="5" s="1"/>
  <c r="H12" i="5"/>
  <c r="I12" i="5" s="1"/>
  <c r="D14" i="24"/>
  <c r="N14" i="24" s="1"/>
  <c r="O14" i="24" s="1"/>
  <c r="AD50" i="5"/>
  <c r="AE50" i="5" s="1"/>
  <c r="F38" i="5"/>
  <c r="C39" i="9" s="1"/>
  <c r="H32" i="5"/>
  <c r="I32" i="5" s="1"/>
  <c r="H21" i="5"/>
  <c r="I21" i="5" s="1"/>
  <c r="H13" i="5"/>
  <c r="I13" i="5" s="1"/>
  <c r="AJ9" i="5"/>
  <c r="AK9" i="5" s="1"/>
  <c r="S50" i="23"/>
  <c r="P40" i="23"/>
  <c r="R28" i="23"/>
  <c r="R11" i="23"/>
  <c r="T11" i="23" s="1"/>
  <c r="C35" i="12"/>
  <c r="V35" i="12" s="1"/>
  <c r="AH15" i="5"/>
  <c r="AI15" i="5" s="1"/>
  <c r="AD32" i="5"/>
  <c r="AE32" i="5" s="1"/>
  <c r="D14" i="13"/>
  <c r="N14" i="13" s="1"/>
  <c r="O14" i="13" s="1"/>
  <c r="O46" i="23"/>
  <c r="Q46" i="23" s="1"/>
  <c r="S33" i="23"/>
  <c r="P15" i="23"/>
  <c r="C42" i="12"/>
  <c r="W42" i="12" s="1"/>
  <c r="S39" i="5"/>
  <c r="D43" i="8" s="1"/>
  <c r="S23" i="5"/>
  <c r="D27" i="8" s="1"/>
  <c r="N27" i="8" s="1"/>
  <c r="O27" i="8" s="1"/>
  <c r="AD37" i="5"/>
  <c r="AE37" i="5" s="1"/>
  <c r="S36" i="5"/>
  <c r="D40" i="8" s="1"/>
  <c r="N40" i="8" s="1"/>
  <c r="O40" i="8" s="1"/>
  <c r="AT53" i="5"/>
  <c r="AC40" i="5"/>
  <c r="AD25" i="5"/>
  <c r="AE25" i="5" s="1"/>
  <c r="C44" i="16"/>
  <c r="Z44" i="16" s="1"/>
  <c r="N33" i="5"/>
  <c r="O33" i="5" s="1"/>
  <c r="AD8" i="5"/>
  <c r="AE8" i="5" s="1"/>
  <c r="C21" i="8"/>
  <c r="Z21" i="8" s="1"/>
  <c r="F22" i="5"/>
  <c r="C23" i="9" s="1"/>
  <c r="H33" i="5"/>
  <c r="I33" i="5" s="1"/>
  <c r="H17" i="5"/>
  <c r="I17" i="5" s="1"/>
  <c r="H9" i="5"/>
  <c r="I9" i="5" s="1"/>
  <c r="Z58" i="19"/>
  <c r="AA63" i="18"/>
  <c r="AF63" i="18" s="1"/>
  <c r="D41" i="17"/>
  <c r="S41" i="17" s="1"/>
  <c r="T41" i="17" s="1"/>
  <c r="AI37" i="5"/>
  <c r="D25" i="17"/>
  <c r="N25" i="17" s="1"/>
  <c r="O25" i="17" s="1"/>
  <c r="AI21" i="5"/>
  <c r="D34" i="19"/>
  <c r="N34" i="19" s="1"/>
  <c r="O34" i="19" s="1"/>
  <c r="D39" i="18"/>
  <c r="N39" i="18" s="1"/>
  <c r="O39" i="18" s="1"/>
  <c r="D52" i="17"/>
  <c r="X52" i="17" s="1"/>
  <c r="Y52" i="17" s="1"/>
  <c r="D52" i="16"/>
  <c r="AB52" i="16" s="1"/>
  <c r="AD45" i="5"/>
  <c r="AE45" i="5" s="1"/>
  <c r="H23" i="5"/>
  <c r="I23" i="5" s="1"/>
  <c r="AJ21" i="5"/>
  <c r="AK21" i="5" s="1"/>
  <c r="X33" i="17"/>
  <c r="Y33" i="17" s="1"/>
  <c r="P42" i="23"/>
  <c r="O20" i="23"/>
  <c r="D49" i="12"/>
  <c r="N49" i="12" s="1"/>
  <c r="O49" i="12" s="1"/>
  <c r="D52" i="24"/>
  <c r="N52" i="24" s="1"/>
  <c r="O52" i="24" s="1"/>
  <c r="N10" i="5"/>
  <c r="O10" i="5" s="1"/>
  <c r="AN50" i="5"/>
  <c r="AS50" i="5" s="1"/>
  <c r="AJ41" i="5"/>
  <c r="AK41" i="5" s="1"/>
  <c r="AJ37" i="5"/>
  <c r="AK37" i="5" s="1"/>
  <c r="AD29" i="5"/>
  <c r="AE29" i="5" s="1"/>
  <c r="Z17" i="5"/>
  <c r="AJ48" i="5"/>
  <c r="AK48" i="5" s="1"/>
  <c r="O28" i="23"/>
  <c r="Q9" i="5"/>
  <c r="N43" i="5"/>
  <c r="O43" i="5" s="1"/>
  <c r="D49" i="24"/>
  <c r="N49" i="24" s="1"/>
  <c r="O49" i="24" s="1"/>
  <c r="H40" i="5"/>
  <c r="I40" i="5" s="1"/>
  <c r="H24" i="5"/>
  <c r="I24" i="5" s="1"/>
  <c r="AN46" i="5"/>
  <c r="AT46" i="5" s="1"/>
  <c r="R41" i="23"/>
  <c r="C25" i="8"/>
  <c r="Z25" i="8" s="1"/>
  <c r="H26" i="5"/>
  <c r="I26" i="5" s="1"/>
  <c r="AD21" i="5"/>
  <c r="AE21" i="5" s="1"/>
  <c r="R17" i="23"/>
  <c r="T17" i="23" s="1"/>
  <c r="C17" i="10"/>
  <c r="AA17" i="10" s="1"/>
  <c r="S41" i="5"/>
  <c r="D45" i="8" s="1"/>
  <c r="N45" i="8" s="1"/>
  <c r="O45" i="8" s="1"/>
  <c r="C16" i="10"/>
  <c r="AA16" i="10" s="1"/>
  <c r="C24" i="24"/>
  <c r="U24" i="24" s="1"/>
  <c r="G48" i="5"/>
  <c r="H46" i="5"/>
  <c r="I46" i="5" s="1"/>
  <c r="N45" i="5"/>
  <c r="O45" i="5" s="1"/>
  <c r="AD42" i="5"/>
  <c r="AE42" i="5" s="1"/>
  <c r="T13" i="5"/>
  <c r="AB8" i="5"/>
  <c r="AC8" i="5" s="1"/>
  <c r="O36" i="23"/>
  <c r="S22" i="23"/>
  <c r="AJ54" i="5"/>
  <c r="AK54" i="5" s="1"/>
  <c r="AT54" i="5"/>
  <c r="C17" i="8"/>
  <c r="Z17" i="8" s="1"/>
  <c r="C37" i="24"/>
  <c r="U37" i="24" s="1"/>
  <c r="C13" i="5"/>
  <c r="C17" i="14" s="1"/>
  <c r="AA17" i="14" s="1"/>
  <c r="D28" i="12"/>
  <c r="X28" i="12" s="1"/>
  <c r="L23" i="5"/>
  <c r="C27" i="13" s="1"/>
  <c r="Z27" i="13" s="1"/>
  <c r="Y40" i="5"/>
  <c r="Y24" i="5"/>
  <c r="D20" i="24"/>
  <c r="N20" i="24" s="1"/>
  <c r="O20" i="24" s="1"/>
  <c r="L43" i="5"/>
  <c r="D42" i="19" s="1"/>
  <c r="N42" i="19" s="1"/>
  <c r="O42" i="19" s="1"/>
  <c r="C25" i="10"/>
  <c r="Z25" i="10" s="1"/>
  <c r="C40" i="12"/>
  <c r="V40" i="12" s="1"/>
  <c r="H34" i="5"/>
  <c r="I34" i="5" s="1"/>
  <c r="H50" i="5"/>
  <c r="I50" i="5" s="1"/>
  <c r="AD18" i="5"/>
  <c r="AE18" i="5" s="1"/>
  <c r="D28" i="24"/>
  <c r="N28" i="24" s="1"/>
  <c r="O28" i="24" s="1"/>
  <c r="AJ17" i="5"/>
  <c r="AK17" i="5" s="1"/>
  <c r="D46" i="14"/>
  <c r="N46" i="14" s="1"/>
  <c r="O46" i="14" s="1"/>
  <c r="C40" i="10"/>
  <c r="AA40" i="10" s="1"/>
  <c r="C46" i="24"/>
  <c r="U46" i="24" s="1"/>
  <c r="H44" i="5"/>
  <c r="I44" i="5" s="1"/>
  <c r="AC42" i="5"/>
  <c r="H30" i="5"/>
  <c r="I30" i="5" s="1"/>
  <c r="H29" i="5"/>
  <c r="I29" i="5" s="1"/>
  <c r="AJ25" i="5"/>
  <c r="AK25" i="5" s="1"/>
  <c r="N21" i="5"/>
  <c r="O21" i="5" s="1"/>
  <c r="N13" i="5"/>
  <c r="O13" i="5" s="1"/>
  <c r="AD10" i="5"/>
  <c r="AE10" i="5" s="1"/>
  <c r="AD9" i="5"/>
  <c r="AE9" i="5" s="1"/>
  <c r="P10" i="23"/>
  <c r="Q10" i="23" s="1"/>
  <c r="O40" i="23"/>
  <c r="S30" i="23"/>
  <c r="P12" i="23"/>
  <c r="C33" i="24"/>
  <c r="U33" i="24" s="1"/>
  <c r="C28" i="12"/>
  <c r="W28" i="12" s="1"/>
  <c r="C21" i="5"/>
  <c r="C25" i="14" s="1"/>
  <c r="AA25" i="14" s="1"/>
  <c r="D24" i="12"/>
  <c r="N24" i="12" s="1"/>
  <c r="O24" i="12" s="1"/>
  <c r="L11" i="5"/>
  <c r="D16" i="24"/>
  <c r="N16" i="24" s="1"/>
  <c r="O16" i="24" s="1"/>
  <c r="L48" i="5"/>
  <c r="D47" i="19" s="1"/>
  <c r="N47" i="19" s="1"/>
  <c r="O47" i="19" s="1"/>
  <c r="AD13" i="5"/>
  <c r="AE13" i="5" s="1"/>
  <c r="R49" i="23"/>
  <c r="T49" i="23" s="1"/>
  <c r="P37" i="23"/>
  <c r="C41" i="24"/>
  <c r="U41" i="24" s="1"/>
  <c r="C22" i="10"/>
  <c r="AA22" i="10" s="1"/>
  <c r="N31" i="5"/>
  <c r="O31" i="5" s="1"/>
  <c r="Q8" i="5"/>
  <c r="R8" i="5" s="1"/>
  <c r="R25" i="23"/>
  <c r="C15" i="12"/>
  <c r="W15" i="12" s="1"/>
  <c r="C32" i="12"/>
  <c r="W32" i="12" s="1"/>
  <c r="AH17" i="5"/>
  <c r="D21" i="17" s="1"/>
  <c r="N21" i="17" s="1"/>
  <c r="O21" i="17" s="1"/>
  <c r="AB49" i="17"/>
  <c r="S49" i="17"/>
  <c r="T49" i="17" s="1"/>
  <c r="AB36" i="5"/>
  <c r="C40" i="16" s="1"/>
  <c r="AA40" i="16" s="1"/>
  <c r="S37" i="23"/>
  <c r="AD36" i="5"/>
  <c r="AE36" i="5" s="1"/>
  <c r="W47" i="5"/>
  <c r="D51" i="11" s="1"/>
  <c r="D51" i="12"/>
  <c r="N51" i="12" s="1"/>
  <c r="O51" i="12" s="1"/>
  <c r="R48" i="23"/>
  <c r="T48" i="23" s="1"/>
  <c r="C55" i="12"/>
  <c r="V55" i="12" s="1"/>
  <c r="B47" i="33"/>
  <c r="S35" i="5"/>
  <c r="D39" i="8" s="1"/>
  <c r="C39" i="8"/>
  <c r="Z39" i="8" s="1"/>
  <c r="C39" i="10"/>
  <c r="Z39" i="10" s="1"/>
  <c r="H35" i="5"/>
  <c r="I35" i="5" s="1"/>
  <c r="N35" i="5"/>
  <c r="O35" i="5" s="1"/>
  <c r="Y27" i="5"/>
  <c r="H27" i="5"/>
  <c r="I27" i="5" s="1"/>
  <c r="C27" i="5"/>
  <c r="C31" i="14" s="1"/>
  <c r="Z31" i="14" s="1"/>
  <c r="C31" i="10"/>
  <c r="Z31" i="10" s="1"/>
  <c r="C31" i="8"/>
  <c r="Z31" i="8" s="1"/>
  <c r="N27" i="5"/>
  <c r="O27" i="5" s="1"/>
  <c r="Y19" i="5"/>
  <c r="N19" i="5"/>
  <c r="O19" i="5" s="1"/>
  <c r="C23" i="24"/>
  <c r="U23" i="24" s="1"/>
  <c r="H19" i="5"/>
  <c r="I19" i="5" s="1"/>
  <c r="C11" i="5"/>
  <c r="C15" i="14" s="1"/>
  <c r="AA15" i="14" s="1"/>
  <c r="C15" i="24"/>
  <c r="U15" i="24" s="1"/>
  <c r="N11" i="5"/>
  <c r="O11" i="5" s="1"/>
  <c r="H11" i="5"/>
  <c r="I11" i="5" s="1"/>
  <c r="AJ43" i="5"/>
  <c r="AK43" i="5" s="1"/>
  <c r="D31" i="17"/>
  <c r="N31" i="17" s="1"/>
  <c r="O31" i="17" s="1"/>
  <c r="AI27" i="5"/>
  <c r="AJ19" i="5"/>
  <c r="AK19" i="5" s="1"/>
  <c r="AD43" i="5"/>
  <c r="AE43" i="5" s="1"/>
  <c r="AD35" i="5"/>
  <c r="AE35" i="5" s="1"/>
  <c r="AD19" i="5"/>
  <c r="AE19" i="5" s="1"/>
  <c r="AD11" i="5"/>
  <c r="AE11" i="5" s="1"/>
  <c r="AB20" i="5"/>
  <c r="C24" i="16" s="1"/>
  <c r="Z24" i="16" s="1"/>
  <c r="S21" i="23"/>
  <c r="AD20" i="5"/>
  <c r="AE20" i="5" s="1"/>
  <c r="C35" i="5"/>
  <c r="C39" i="14" s="1"/>
  <c r="Z39" i="14" s="1"/>
  <c r="D39" i="17"/>
  <c r="N39" i="17" s="1"/>
  <c r="O39" i="17" s="1"/>
  <c r="AI35" i="5"/>
  <c r="AB28" i="5"/>
  <c r="C32" i="16" s="1"/>
  <c r="Z32" i="16" s="1"/>
  <c r="AD28" i="5"/>
  <c r="AE28" i="5" s="1"/>
  <c r="S29" i="23"/>
  <c r="AB12" i="5"/>
  <c r="C16" i="16" s="1"/>
  <c r="Z16" i="16" s="1"/>
  <c r="S13" i="23"/>
  <c r="W39" i="5"/>
  <c r="C43" i="17" s="1"/>
  <c r="R40" i="23"/>
  <c r="T40" i="23" s="1"/>
  <c r="D43" i="24"/>
  <c r="N43" i="24" s="1"/>
  <c r="O43" i="24" s="1"/>
  <c r="D43" i="12"/>
  <c r="N43" i="12" s="1"/>
  <c r="O43" i="12" s="1"/>
  <c r="W31" i="5"/>
  <c r="X31" i="5" s="1"/>
  <c r="D35" i="24"/>
  <c r="N35" i="24" s="1"/>
  <c r="O35" i="24" s="1"/>
  <c r="R32" i="23"/>
  <c r="W15" i="5"/>
  <c r="X15" i="5" s="1"/>
  <c r="R16" i="23"/>
  <c r="AN15" i="5"/>
  <c r="AS15" i="5" s="1"/>
  <c r="D19" i="12"/>
  <c r="X19" i="12" s="1"/>
  <c r="Q35" i="5"/>
  <c r="C39" i="11" s="1"/>
  <c r="B31" i="33"/>
  <c r="P36" i="23"/>
  <c r="C39" i="12"/>
  <c r="V39" i="12" s="1"/>
  <c r="Q27" i="5"/>
  <c r="C31" i="15" s="1"/>
  <c r="B23" i="33"/>
  <c r="C31" i="12"/>
  <c r="V31" i="12" s="1"/>
  <c r="P28" i="23"/>
  <c r="Q19" i="5"/>
  <c r="C23" i="15" s="1"/>
  <c r="B15" i="33"/>
  <c r="C23" i="12"/>
  <c r="V23" i="12" s="1"/>
  <c r="P20" i="23"/>
  <c r="AN10" i="5"/>
  <c r="AT10" i="5" s="1"/>
  <c r="AJ35" i="5"/>
  <c r="AK35" i="5" s="1"/>
  <c r="AB44" i="5"/>
  <c r="S45" i="23"/>
  <c r="T45" i="23" s="1"/>
  <c r="W23" i="5"/>
  <c r="X23" i="5" s="1"/>
  <c r="R24" i="23"/>
  <c r="AN31" i="5"/>
  <c r="Q42" i="5"/>
  <c r="D43" i="9" s="1"/>
  <c r="B38" i="33"/>
  <c r="Q26" i="5"/>
  <c r="C30" i="11" s="1"/>
  <c r="Z30" i="11" s="1"/>
  <c r="B22" i="33"/>
  <c r="AD26" i="5"/>
  <c r="AE26" i="5" s="1"/>
  <c r="F24" i="5"/>
  <c r="C25" i="9" s="1"/>
  <c r="Q49" i="5"/>
  <c r="C45" i="33" s="1"/>
  <c r="B45" i="33"/>
  <c r="Q17" i="5"/>
  <c r="D18" i="9" s="1"/>
  <c r="B13" i="33"/>
  <c r="AI48" i="5"/>
  <c r="S19" i="23"/>
  <c r="Q48" i="5"/>
  <c r="C52" i="11" s="1"/>
  <c r="B44" i="33"/>
  <c r="C28" i="10"/>
  <c r="AA28" i="10" s="1"/>
  <c r="C44" i="10"/>
  <c r="Z44" i="10" s="1"/>
  <c r="C36" i="24"/>
  <c r="U36" i="24" s="1"/>
  <c r="C52" i="24"/>
  <c r="U52" i="24" s="1"/>
  <c r="G98" i="2"/>
  <c r="J98" i="2" s="1"/>
  <c r="AI45" i="5"/>
  <c r="N41" i="5"/>
  <c r="O41" i="5" s="1"/>
  <c r="AD34" i="5"/>
  <c r="AE34" i="5" s="1"/>
  <c r="AD33" i="5"/>
  <c r="AE33" i="5" s="1"/>
  <c r="H31" i="5"/>
  <c r="I31" i="5" s="1"/>
  <c r="AJ27" i="5"/>
  <c r="AK27" i="5" s="1"/>
  <c r="AJ11" i="5"/>
  <c r="AK11" i="5" s="1"/>
  <c r="AD49" i="5"/>
  <c r="AE49" i="5" s="1"/>
  <c r="R38" i="23"/>
  <c r="S35" i="23"/>
  <c r="T35" i="23" s="1"/>
  <c r="P19" i="23"/>
  <c r="O16" i="23"/>
  <c r="Q16" i="23" s="1"/>
  <c r="R13" i="23"/>
  <c r="C42" i="5"/>
  <c r="C46" i="14" s="1"/>
  <c r="AA46" i="14" s="1"/>
  <c r="AH43" i="5"/>
  <c r="L9" i="5"/>
  <c r="D13" i="18" s="1"/>
  <c r="N13" i="18" s="1"/>
  <c r="Y31" i="5"/>
  <c r="Y15" i="5"/>
  <c r="D34" i="24"/>
  <c r="N34" i="24" s="1"/>
  <c r="O34" i="24" s="1"/>
  <c r="L17" i="5"/>
  <c r="D18" i="19" s="1"/>
  <c r="AN48" i="5"/>
  <c r="AT48" i="5" s="1"/>
  <c r="Q39" i="5"/>
  <c r="D40" i="9" s="1"/>
  <c r="B35" i="33"/>
  <c r="Q31" i="5"/>
  <c r="C35" i="15" s="1"/>
  <c r="B27" i="33"/>
  <c r="Q23" i="5"/>
  <c r="B19" i="33"/>
  <c r="Q15" i="5"/>
  <c r="D16" i="9" s="1"/>
  <c r="B11" i="33"/>
  <c r="F40" i="5"/>
  <c r="C41" i="9" s="1"/>
  <c r="Q41" i="5"/>
  <c r="C37" i="33" s="1"/>
  <c r="B37" i="33"/>
  <c r="H18" i="5"/>
  <c r="I18" i="5" s="1"/>
  <c r="C41" i="5"/>
  <c r="C45" i="14" s="1"/>
  <c r="AA45" i="14" s="1"/>
  <c r="C54" i="24"/>
  <c r="U54" i="24" s="1"/>
  <c r="H48" i="5"/>
  <c r="I48" i="5" s="1"/>
  <c r="M43" i="5"/>
  <c r="N39" i="5"/>
  <c r="O39" i="5" s="1"/>
  <c r="AI29" i="5"/>
  <c r="M27" i="5"/>
  <c r="H16" i="5"/>
  <c r="I16" i="5" s="1"/>
  <c r="H10" i="5"/>
  <c r="I10" i="5" s="1"/>
  <c r="P27" i="23"/>
  <c r="F50" i="5"/>
  <c r="C51" i="9" s="1"/>
  <c r="C21" i="10"/>
  <c r="Z21" i="10" s="1"/>
  <c r="C21" i="12"/>
  <c r="W21" i="12" s="1"/>
  <c r="C30" i="12"/>
  <c r="W30" i="12" s="1"/>
  <c r="C52" i="12"/>
  <c r="C24" i="5"/>
  <c r="C28" i="14" s="1"/>
  <c r="Z28" i="14" s="1"/>
  <c r="C48" i="5"/>
  <c r="C52" i="14" s="1"/>
  <c r="Z52" i="14" s="1"/>
  <c r="D34" i="12"/>
  <c r="N34" i="12" s="1"/>
  <c r="O34" i="12" s="1"/>
  <c r="D16" i="12"/>
  <c r="N16" i="12" s="1"/>
  <c r="O16" i="12" s="1"/>
  <c r="D33" i="24"/>
  <c r="N33" i="24" s="1"/>
  <c r="O33" i="24" s="1"/>
  <c r="Q46" i="5"/>
  <c r="B42" i="33"/>
  <c r="Q38" i="5"/>
  <c r="D39" i="9" s="1"/>
  <c r="B34" i="33"/>
  <c r="Q30" i="5"/>
  <c r="D31" i="9" s="1"/>
  <c r="B26" i="33"/>
  <c r="Q22" i="5"/>
  <c r="B18" i="33"/>
  <c r="E67" i="3"/>
  <c r="F67" i="3" s="1"/>
  <c r="G67" i="3" s="1"/>
  <c r="Q34" i="5"/>
  <c r="C30" i="33" s="1"/>
  <c r="B30" i="33"/>
  <c r="Q33" i="5"/>
  <c r="D34" i="9" s="1"/>
  <c r="B29" i="33"/>
  <c r="R47" i="23"/>
  <c r="T47" i="23" s="1"/>
  <c r="S27" i="23"/>
  <c r="T27" i="23" s="1"/>
  <c r="N8" i="5"/>
  <c r="O8" i="5" s="1"/>
  <c r="C17" i="5"/>
  <c r="C21" i="14" s="1"/>
  <c r="AA21" i="14" s="1"/>
  <c r="AH50" i="5"/>
  <c r="D54" i="17" s="1"/>
  <c r="C30" i="10"/>
  <c r="AA30" i="10" s="1"/>
  <c r="C38" i="24"/>
  <c r="U38" i="24" s="1"/>
  <c r="H42" i="5"/>
  <c r="I42" i="5" s="1"/>
  <c r="N25" i="5"/>
  <c r="O25" i="5" s="1"/>
  <c r="AJ10" i="5"/>
  <c r="AK10" i="5" s="1"/>
  <c r="N9" i="5"/>
  <c r="O9" i="5" s="1"/>
  <c r="P49" i="23"/>
  <c r="Q49" i="23" s="1"/>
  <c r="P35" i="23"/>
  <c r="O32" i="23"/>
  <c r="Q32" i="23" s="1"/>
  <c r="P18" i="23"/>
  <c r="C54" i="8"/>
  <c r="Z54" i="8" s="1"/>
  <c r="C28" i="8"/>
  <c r="Z28" i="8" s="1"/>
  <c r="C39" i="13"/>
  <c r="Z39" i="13" s="1"/>
  <c r="C53" i="12"/>
  <c r="W53" i="12" s="1"/>
  <c r="Y45" i="5"/>
  <c r="Y37" i="5"/>
  <c r="Y29" i="5"/>
  <c r="L15" i="5"/>
  <c r="B5" i="33"/>
  <c r="S9" i="5"/>
  <c r="Q45" i="5"/>
  <c r="C41" i="33" s="1"/>
  <c r="B41" i="33"/>
  <c r="Q21" i="5"/>
  <c r="D22" i="9" s="1"/>
  <c r="B17" i="33"/>
  <c r="Q13" i="5"/>
  <c r="B9" i="33"/>
  <c r="Q18" i="5"/>
  <c r="C14" i="33" s="1"/>
  <c r="B14" i="33"/>
  <c r="O34" i="23"/>
  <c r="Q34" i="23" s="1"/>
  <c r="Q25" i="5"/>
  <c r="D26" i="9" s="1"/>
  <c r="N26" i="9" s="1"/>
  <c r="O26" i="9" s="1"/>
  <c r="B21" i="33"/>
  <c r="C14" i="24"/>
  <c r="U14" i="24" s="1"/>
  <c r="N17" i="5"/>
  <c r="O17" i="5" s="1"/>
  <c r="P50" i="23"/>
  <c r="O42" i="23"/>
  <c r="R30" i="23"/>
  <c r="T30" i="23" s="1"/>
  <c r="AJ50" i="5"/>
  <c r="AK50" i="5" s="1"/>
  <c r="M35" i="5"/>
  <c r="AD27" i="5"/>
  <c r="AE27" i="5" s="1"/>
  <c r="N23" i="5"/>
  <c r="O23" i="5" s="1"/>
  <c r="H14" i="5"/>
  <c r="I14" i="5" s="1"/>
  <c r="C4" i="33"/>
  <c r="E123" i="3"/>
  <c r="F123" i="3" s="1"/>
  <c r="G123" i="3" s="1"/>
  <c r="E119" i="3"/>
  <c r="F119" i="3" s="1"/>
  <c r="G119" i="3" s="1"/>
  <c r="E115" i="3"/>
  <c r="F115" i="3" s="1"/>
  <c r="G115" i="3" s="1"/>
  <c r="E131" i="3"/>
  <c r="F131" i="3" s="1"/>
  <c r="G131" i="3" s="1"/>
  <c r="N50" i="5"/>
  <c r="O50" i="5" s="1"/>
  <c r="S10" i="23"/>
  <c r="R46" i="23"/>
  <c r="S43" i="23"/>
  <c r="S34" i="23"/>
  <c r="T34" i="23" s="1"/>
  <c r="S28" i="23"/>
  <c r="P26" i="23"/>
  <c r="Q26" i="23" s="1"/>
  <c r="R21" i="23"/>
  <c r="C54" i="12"/>
  <c r="V54" i="12" s="1"/>
  <c r="D24" i="24"/>
  <c r="N24" i="24" s="1"/>
  <c r="O24" i="24" s="1"/>
  <c r="L50" i="5"/>
  <c r="D49" i="19" s="1"/>
  <c r="S49" i="19" s="1"/>
  <c r="T49" i="19" s="1"/>
  <c r="C56" i="12"/>
  <c r="V56" i="12" s="1"/>
  <c r="B48" i="33"/>
  <c r="Q44" i="5"/>
  <c r="C40" i="33" s="1"/>
  <c r="B40" i="33"/>
  <c r="Q36" i="5"/>
  <c r="D37" i="9" s="1"/>
  <c r="B32" i="33"/>
  <c r="Q12" i="5"/>
  <c r="B8" i="33"/>
  <c r="G12" i="3"/>
  <c r="F20" i="3"/>
  <c r="F16" i="3"/>
  <c r="H16" i="3"/>
  <c r="D79" i="3"/>
  <c r="E79" i="3" s="1"/>
  <c r="F79" i="3" s="1"/>
  <c r="G79" i="3" s="1"/>
  <c r="G20" i="3"/>
  <c r="F28" i="3"/>
  <c r="E12" i="3"/>
  <c r="H28" i="3"/>
  <c r="H32" i="3"/>
  <c r="D71" i="3"/>
  <c r="E71" i="3" s="1"/>
  <c r="F71" i="3" s="1"/>
  <c r="G71" i="3" s="1"/>
  <c r="D87" i="3"/>
  <c r="E87" i="3" s="1"/>
  <c r="F87" i="3" s="1"/>
  <c r="G87" i="3" s="1"/>
  <c r="G28" i="3"/>
  <c r="E24" i="3"/>
  <c r="H24" i="3"/>
  <c r="F17" i="3"/>
  <c r="E18" i="3"/>
  <c r="H29" i="3"/>
  <c r="G21" i="3"/>
  <c r="H33" i="3"/>
  <c r="G30" i="3"/>
  <c r="G10" i="3"/>
  <c r="D88" i="3"/>
  <c r="E88" i="3" s="1"/>
  <c r="F88" i="3" s="1"/>
  <c r="G88" i="3" s="1"/>
  <c r="G26" i="3"/>
  <c r="F21" i="3"/>
  <c r="G25" i="3"/>
  <c r="D80" i="3"/>
  <c r="E80" i="3" s="1"/>
  <c r="F80" i="3" s="1"/>
  <c r="G80" i="3" s="1"/>
  <c r="G17" i="3"/>
  <c r="H21" i="3"/>
  <c r="D72" i="3"/>
  <c r="E72" i="3" s="1"/>
  <c r="F72" i="3" s="1"/>
  <c r="G72" i="3" s="1"/>
  <c r="G29" i="3"/>
  <c r="F13" i="3"/>
  <c r="H25" i="3"/>
  <c r="H13" i="3"/>
  <c r="D73" i="3"/>
  <c r="E73" i="3" s="1"/>
  <c r="F73" i="3" s="1"/>
  <c r="G73" i="3" s="1"/>
  <c r="D68" i="3"/>
  <c r="E68" i="3" s="1"/>
  <c r="F68" i="3" s="1"/>
  <c r="G68" i="3" s="1"/>
  <c r="G22" i="3"/>
  <c r="G31" i="3"/>
  <c r="G27" i="3"/>
  <c r="G23" i="3"/>
  <c r="Y21" i="3"/>
  <c r="G35" i="3"/>
  <c r="D90" i="3"/>
  <c r="E90" i="3" s="1"/>
  <c r="F90" i="3" s="1"/>
  <c r="G90" i="3" s="1"/>
  <c r="D77" i="3"/>
  <c r="E77" i="3" s="1"/>
  <c r="F77" i="3" s="1"/>
  <c r="G77" i="3" s="1"/>
  <c r="D65" i="3"/>
  <c r="E65" i="3" s="1"/>
  <c r="F65" i="3" s="1"/>
  <c r="G65" i="3" s="1"/>
  <c r="G14" i="3"/>
  <c r="E14" i="3"/>
  <c r="H30" i="3"/>
  <c r="D81" i="3"/>
  <c r="E81" i="3" s="1"/>
  <c r="F81" i="3" s="1"/>
  <c r="G81" i="3" s="1"/>
  <c r="D69" i="3"/>
  <c r="E69" i="3" s="1"/>
  <c r="F69" i="3" s="1"/>
  <c r="G69" i="3" s="1"/>
  <c r="G18" i="3"/>
  <c r="F33" i="3"/>
  <c r="F27" i="3"/>
  <c r="F31" i="3"/>
  <c r="E26" i="3"/>
  <c r="F23" i="3"/>
  <c r="H27" i="3"/>
  <c r="H23" i="3"/>
  <c r="H10" i="3"/>
  <c r="D74" i="3"/>
  <c r="E74" i="3" s="1"/>
  <c r="F74" i="3" s="1"/>
  <c r="G74" i="3" s="1"/>
  <c r="D70" i="3"/>
  <c r="E70" i="3" s="1"/>
  <c r="F70" i="3" s="1"/>
  <c r="G70" i="3" s="1"/>
  <c r="D66" i="3"/>
  <c r="E66" i="3" s="1"/>
  <c r="F66" i="3" s="1"/>
  <c r="G66" i="3" s="1"/>
  <c r="H34" i="3"/>
  <c r="E34" i="3"/>
  <c r="D89" i="3"/>
  <c r="E89" i="3" s="1"/>
  <c r="F89" i="3" s="1"/>
  <c r="G89" i="3" s="1"/>
  <c r="Y22" i="3"/>
  <c r="H19" i="3"/>
  <c r="H15" i="3"/>
  <c r="H11" i="3"/>
  <c r="D86" i="3"/>
  <c r="E86" i="3" s="1"/>
  <c r="F86" i="3" s="1"/>
  <c r="E75" i="3"/>
  <c r="F75" i="3" s="1"/>
  <c r="G75" i="3" s="1"/>
  <c r="F30" i="3"/>
  <c r="F22" i="3"/>
  <c r="F19" i="3"/>
  <c r="E15" i="3"/>
  <c r="G11" i="3"/>
  <c r="H35" i="3"/>
  <c r="G86" i="2"/>
  <c r="Q51" i="30"/>
  <c r="Q49" i="30"/>
  <c r="Q47" i="30"/>
  <c r="Q45" i="30"/>
  <c r="Q43" i="30"/>
  <c r="Q41" i="30"/>
  <c r="Q39" i="30"/>
  <c r="Q37" i="30"/>
  <c r="Q35" i="30"/>
  <c r="Q33" i="30"/>
  <c r="Q31" i="30"/>
  <c r="Q29" i="30"/>
  <c r="Q27" i="30"/>
  <c r="Q21" i="30"/>
  <c r="V17" i="12"/>
  <c r="U62" i="11"/>
  <c r="G17" i="2" s="1"/>
  <c r="G93" i="11"/>
  <c r="AS53" i="5"/>
  <c r="AS54" i="5"/>
  <c r="Q19" i="30"/>
  <c r="Q17" i="30"/>
  <c r="Q23" i="30"/>
  <c r="AQ54" i="5"/>
  <c r="AR54" i="5" s="1"/>
  <c r="V17" i="24"/>
  <c r="U17" i="24"/>
  <c r="D53" i="16"/>
  <c r="N53" i="16" s="1"/>
  <c r="O53" i="16" s="1"/>
  <c r="D53" i="17"/>
  <c r="AB53" i="17" s="1"/>
  <c r="AI49" i="5"/>
  <c r="S8" i="5"/>
  <c r="T8" i="5" s="1"/>
  <c r="C41" i="8"/>
  <c r="Z41" i="8" s="1"/>
  <c r="C37" i="8"/>
  <c r="Z37" i="8" s="1"/>
  <c r="C33" i="8"/>
  <c r="Z33" i="8" s="1"/>
  <c r="C23" i="8"/>
  <c r="Z23" i="8" s="1"/>
  <c r="C19" i="8"/>
  <c r="Z19" i="8" s="1"/>
  <c r="C15" i="8"/>
  <c r="Z15" i="8" s="1"/>
  <c r="C43" i="24"/>
  <c r="U43" i="24" s="1"/>
  <c r="C39" i="24"/>
  <c r="U39" i="24" s="1"/>
  <c r="C35" i="24"/>
  <c r="U35" i="24" s="1"/>
  <c r="C31" i="24"/>
  <c r="U31" i="24" s="1"/>
  <c r="C25" i="24"/>
  <c r="V25" i="24" s="1"/>
  <c r="C21" i="24"/>
  <c r="U21" i="24" s="1"/>
  <c r="C41" i="10"/>
  <c r="Z41" i="10" s="1"/>
  <c r="C37" i="10"/>
  <c r="Z37" i="10" s="1"/>
  <c r="C33" i="10"/>
  <c r="AA33" i="10" s="1"/>
  <c r="C27" i="10"/>
  <c r="AA27" i="10" s="1"/>
  <c r="C23" i="10"/>
  <c r="AA23" i="10" s="1"/>
  <c r="C19" i="10"/>
  <c r="Z19" i="10" s="1"/>
  <c r="C15" i="10"/>
  <c r="Z15" i="10" s="1"/>
  <c r="C15" i="5"/>
  <c r="C19" i="14" s="1"/>
  <c r="AA19" i="14" s="1"/>
  <c r="C19" i="5"/>
  <c r="C23" i="14" s="1"/>
  <c r="AA23" i="14" s="1"/>
  <c r="C29" i="5"/>
  <c r="C33" i="14" s="1"/>
  <c r="AA33" i="14" s="1"/>
  <c r="C33" i="5"/>
  <c r="C37" i="14" s="1"/>
  <c r="Z37" i="14" s="1"/>
  <c r="C37" i="5"/>
  <c r="C41" i="14" s="1"/>
  <c r="Z41" i="14" s="1"/>
  <c r="D41" i="12"/>
  <c r="S41" i="12" s="1"/>
  <c r="T41" i="12" s="1"/>
  <c r="D35" i="12"/>
  <c r="X35" i="12" s="1"/>
  <c r="D33" i="12"/>
  <c r="X33" i="12" s="1"/>
  <c r="D13" i="12"/>
  <c r="N13" i="12" s="1"/>
  <c r="O13" i="12" s="1"/>
  <c r="D51" i="24"/>
  <c r="N51" i="24" s="1"/>
  <c r="O51" i="24" s="1"/>
  <c r="D41" i="24"/>
  <c r="N41" i="24" s="1"/>
  <c r="O41" i="24" s="1"/>
  <c r="D31" i="24"/>
  <c r="N31" i="24" s="1"/>
  <c r="O31" i="24" s="1"/>
  <c r="D27" i="24"/>
  <c r="N27" i="24" s="1"/>
  <c r="O27" i="24" s="1"/>
  <c r="D23" i="24"/>
  <c r="N23" i="24" s="1"/>
  <c r="O23" i="24" s="1"/>
  <c r="D19" i="24"/>
  <c r="N19" i="24" s="1"/>
  <c r="O19" i="24" s="1"/>
  <c r="D25" i="8"/>
  <c r="N25" i="8" s="1"/>
  <c r="O25" i="8" s="1"/>
  <c r="C58" i="10"/>
  <c r="C58" i="24"/>
  <c r="D25" i="16"/>
  <c r="AB25" i="16" s="1"/>
  <c r="S45" i="5"/>
  <c r="D49" i="8" s="1"/>
  <c r="S33" i="5"/>
  <c r="T33" i="5" s="1"/>
  <c r="S17" i="5"/>
  <c r="V69" i="5"/>
  <c r="S59" i="8"/>
  <c r="T59" i="8" s="1"/>
  <c r="AB59" i="8"/>
  <c r="N59" i="8"/>
  <c r="O59" i="8" s="1"/>
  <c r="X59" i="8"/>
  <c r="Y59" i="8" s="1"/>
  <c r="X50" i="17"/>
  <c r="Y50" i="17" s="1"/>
  <c r="Q45" i="23"/>
  <c r="S27" i="5"/>
  <c r="AQ53" i="5"/>
  <c r="AR53" i="5" s="1"/>
  <c r="C57" i="8"/>
  <c r="Z57" i="8" s="1"/>
  <c r="C57" i="10"/>
  <c r="C57" i="24"/>
  <c r="AJ53" i="5"/>
  <c r="AK53" i="5" s="1"/>
  <c r="AO53" i="5"/>
  <c r="AP53" i="5" s="1"/>
  <c r="C61" i="8"/>
  <c r="Z61" i="8" s="1"/>
  <c r="C58" i="8"/>
  <c r="Y54" i="5"/>
  <c r="AD54" i="5"/>
  <c r="AE54" i="5" s="1"/>
  <c r="S31" i="5"/>
  <c r="S19" i="5"/>
  <c r="S15" i="5"/>
  <c r="K45" i="3"/>
  <c r="F29" i="3"/>
  <c r="G9" i="3"/>
  <c r="H9" i="3"/>
  <c r="F9" i="3"/>
  <c r="W49" i="5"/>
  <c r="X49" i="5" s="1"/>
  <c r="V62" i="5"/>
  <c r="AA57" i="15"/>
  <c r="Z57" i="15"/>
  <c r="Z57" i="11"/>
  <c r="AA57" i="11"/>
  <c r="D43" i="17"/>
  <c r="X43" i="17" s="1"/>
  <c r="Y43" i="17" s="1"/>
  <c r="D43" i="16"/>
  <c r="N43" i="16" s="1"/>
  <c r="O43" i="16" s="1"/>
  <c r="D23" i="17"/>
  <c r="N23" i="17" s="1"/>
  <c r="O23" i="17" s="1"/>
  <c r="D23" i="16"/>
  <c r="N23" i="16" s="1"/>
  <c r="O23" i="16" s="1"/>
  <c r="D15" i="17"/>
  <c r="AB15" i="17" s="1"/>
  <c r="D15" i="16"/>
  <c r="N15" i="16" s="1"/>
  <c r="O15" i="16" s="1"/>
  <c r="S10" i="5"/>
  <c r="C14" i="12"/>
  <c r="W14" i="12" s="1"/>
  <c r="P11" i="23"/>
  <c r="Y49" i="5"/>
  <c r="S49" i="5"/>
  <c r="C49" i="5"/>
  <c r="C53" i="14" s="1"/>
  <c r="Z53" i="14" s="1"/>
  <c r="AJ49" i="5"/>
  <c r="AK49" i="5" s="1"/>
  <c r="Y47" i="5"/>
  <c r="C47" i="5"/>
  <c r="C51" i="14" s="1"/>
  <c r="Z51" i="14" s="1"/>
  <c r="C51" i="10"/>
  <c r="U51" i="10" s="1"/>
  <c r="C51" i="24"/>
  <c r="U51" i="24" s="1"/>
  <c r="C43" i="5"/>
  <c r="C47" i="14" s="1"/>
  <c r="Z47" i="14" s="1"/>
  <c r="C47" i="10"/>
  <c r="Z47" i="10" s="1"/>
  <c r="C47" i="24"/>
  <c r="U47" i="24" s="1"/>
  <c r="C50" i="13"/>
  <c r="Z50" i="13" s="1"/>
  <c r="C53" i="8"/>
  <c r="AA53" i="8" s="1"/>
  <c r="C51" i="8"/>
  <c r="AA51" i="8" s="1"/>
  <c r="C49" i="8"/>
  <c r="AA49" i="8" s="1"/>
  <c r="C47" i="8"/>
  <c r="AA47" i="8" s="1"/>
  <c r="C49" i="24"/>
  <c r="V49" i="24" s="1"/>
  <c r="C49" i="10"/>
  <c r="AA49" i="10" s="1"/>
  <c r="C31" i="13"/>
  <c r="AA31" i="13" s="1"/>
  <c r="C45" i="5"/>
  <c r="C49" i="14" s="1"/>
  <c r="Z49" i="14" s="1"/>
  <c r="Q10" i="5"/>
  <c r="C6" i="33" s="1"/>
  <c r="D31" i="18"/>
  <c r="N31" i="18" s="1"/>
  <c r="O31" i="18" s="1"/>
  <c r="S42" i="5"/>
  <c r="C46" i="8"/>
  <c r="Z46" i="8" s="1"/>
  <c r="C38" i="5"/>
  <c r="C42" i="14" s="1"/>
  <c r="Z42" i="14" s="1"/>
  <c r="S38" i="5"/>
  <c r="C42" i="8"/>
  <c r="Z42" i="8" s="1"/>
  <c r="C36" i="5"/>
  <c r="C40" i="14" s="1"/>
  <c r="Z40" i="14" s="1"/>
  <c r="C40" i="8"/>
  <c r="AA40" i="8" s="1"/>
  <c r="Y34" i="5"/>
  <c r="D38" i="10" s="1"/>
  <c r="N38" i="10" s="1"/>
  <c r="O38" i="10" s="1"/>
  <c r="C34" i="5"/>
  <c r="C38" i="14" s="1"/>
  <c r="AA38" i="14" s="1"/>
  <c r="C38" i="8"/>
  <c r="AA38" i="8" s="1"/>
  <c r="C32" i="5"/>
  <c r="C36" i="14" s="1"/>
  <c r="Z36" i="14" s="1"/>
  <c r="C36" i="8"/>
  <c r="AA36" i="8" s="1"/>
  <c r="C30" i="5"/>
  <c r="C34" i="14" s="1"/>
  <c r="AA34" i="14" s="1"/>
  <c r="C34" i="8"/>
  <c r="Z34" i="8" s="1"/>
  <c r="C28" i="5"/>
  <c r="C32" i="14" s="1"/>
  <c r="Z32" i="14" s="1"/>
  <c r="C32" i="8"/>
  <c r="Z32" i="8" s="1"/>
  <c r="S26" i="5"/>
  <c r="T26" i="5" s="1"/>
  <c r="C26" i="5"/>
  <c r="C30" i="14" s="1"/>
  <c r="AA30" i="14" s="1"/>
  <c r="C30" i="8"/>
  <c r="Z30" i="8" s="1"/>
  <c r="S22" i="5"/>
  <c r="C22" i="5"/>
  <c r="C26" i="14" s="1"/>
  <c r="AA26" i="14" s="1"/>
  <c r="C26" i="8"/>
  <c r="Z26" i="8" s="1"/>
  <c r="Y20" i="5"/>
  <c r="C20" i="5"/>
  <c r="C24" i="14" s="1"/>
  <c r="Z24" i="14" s="1"/>
  <c r="C24" i="8"/>
  <c r="Z24" i="8" s="1"/>
  <c r="S18" i="5"/>
  <c r="D22" i="8" s="1"/>
  <c r="C18" i="5"/>
  <c r="C22" i="14" s="1"/>
  <c r="Z22" i="14" s="1"/>
  <c r="C22" i="8"/>
  <c r="Z22" i="8" s="1"/>
  <c r="Y16" i="5"/>
  <c r="C16" i="5"/>
  <c r="C20" i="14" s="1"/>
  <c r="Z20" i="14" s="1"/>
  <c r="C20" i="8"/>
  <c r="Z20" i="8" s="1"/>
  <c r="Y10" i="5"/>
  <c r="D14" i="10" s="1"/>
  <c r="N14" i="10" s="1"/>
  <c r="O14" i="10" s="1"/>
  <c r="C10" i="5"/>
  <c r="C14" i="14" s="1"/>
  <c r="Z14" i="14" s="1"/>
  <c r="C14" i="8"/>
  <c r="Z14" i="8" s="1"/>
  <c r="D51" i="15"/>
  <c r="N51" i="15" s="1"/>
  <c r="O51" i="15" s="1"/>
  <c r="C51" i="16"/>
  <c r="AA51" i="16" s="1"/>
  <c r="AB39" i="5"/>
  <c r="D43" i="14" s="1"/>
  <c r="N43" i="14" s="1"/>
  <c r="O43" i="14" s="1"/>
  <c r="AN39" i="5"/>
  <c r="AQ39" i="5" s="1"/>
  <c r="AR39" i="5" s="1"/>
  <c r="AB37" i="5"/>
  <c r="AC37" i="5" s="1"/>
  <c r="S38" i="23"/>
  <c r="AB35" i="5"/>
  <c r="D39" i="15" s="1"/>
  <c r="N39" i="15" s="1"/>
  <c r="O39" i="15" s="1"/>
  <c r="S36" i="23"/>
  <c r="T36" i="23" s="1"/>
  <c r="AB31" i="5"/>
  <c r="D35" i="15" s="1"/>
  <c r="N35" i="15" s="1"/>
  <c r="O35" i="15" s="1"/>
  <c r="S32" i="23"/>
  <c r="AB25" i="5"/>
  <c r="AC25" i="5" s="1"/>
  <c r="S26" i="23"/>
  <c r="T26" i="23" s="1"/>
  <c r="AB23" i="5"/>
  <c r="D27" i="15" s="1"/>
  <c r="N27" i="15" s="1"/>
  <c r="O27" i="15" s="1"/>
  <c r="AN23" i="5"/>
  <c r="AT23" i="5" s="1"/>
  <c r="S24" i="23"/>
  <c r="AB19" i="5"/>
  <c r="D23" i="15" s="1"/>
  <c r="N23" i="15" s="1"/>
  <c r="O23" i="15" s="1"/>
  <c r="S20" i="23"/>
  <c r="AB17" i="5"/>
  <c r="C21" i="16" s="1"/>
  <c r="S18" i="23"/>
  <c r="T18" i="23" s="1"/>
  <c r="AB15" i="5"/>
  <c r="D19" i="15" s="1"/>
  <c r="N19" i="15" s="1"/>
  <c r="O19" i="15" s="1"/>
  <c r="S16" i="23"/>
  <c r="AB11" i="5"/>
  <c r="D15" i="15" s="1"/>
  <c r="AB15" i="15" s="1"/>
  <c r="S12" i="23"/>
  <c r="T12" i="23" s="1"/>
  <c r="W42" i="5"/>
  <c r="D46" i="24"/>
  <c r="N46" i="24" s="1"/>
  <c r="O46" i="24" s="1"/>
  <c r="Y42" i="5"/>
  <c r="W40" i="5"/>
  <c r="D44" i="12"/>
  <c r="X44" i="12" s="1"/>
  <c r="W34" i="5"/>
  <c r="D38" i="24"/>
  <c r="N38" i="24" s="1"/>
  <c r="O38" i="24" s="1"/>
  <c r="Q13" i="23"/>
  <c r="Y50" i="5"/>
  <c r="D54" i="10" s="1"/>
  <c r="Y48" i="5"/>
  <c r="E128" i="3"/>
  <c r="F128" i="3" s="1"/>
  <c r="G128" i="3" s="1"/>
  <c r="E120" i="3"/>
  <c r="F120" i="3" s="1"/>
  <c r="G120" i="3" s="1"/>
  <c r="E113" i="3"/>
  <c r="F113" i="3" s="1"/>
  <c r="G113" i="3" s="1"/>
  <c r="E112" i="3"/>
  <c r="F112" i="3" s="1"/>
  <c r="G112" i="3" s="1"/>
  <c r="E111" i="3"/>
  <c r="F111" i="3" s="1"/>
  <c r="G111" i="3" s="1"/>
  <c r="L45" i="3"/>
  <c r="L46" i="3" s="1"/>
  <c r="L47" i="3" s="1"/>
  <c r="E84" i="3"/>
  <c r="F84" i="3" s="1"/>
  <c r="G84" i="3" s="1"/>
  <c r="E83" i="3"/>
  <c r="F83" i="3" s="1"/>
  <c r="E82" i="3"/>
  <c r="F82" i="3" s="1"/>
  <c r="G82" i="3" s="1"/>
  <c r="E78" i="3"/>
  <c r="F78" i="3" s="1"/>
  <c r="G78" i="3" s="1"/>
  <c r="E85" i="3"/>
  <c r="F85" i="3" s="1"/>
  <c r="G85" i="3" s="1"/>
  <c r="E130" i="3"/>
  <c r="F130" i="3" s="1"/>
  <c r="E129" i="3"/>
  <c r="F129" i="3" s="1"/>
  <c r="G129" i="3" s="1"/>
  <c r="E125" i="3"/>
  <c r="F125" i="3" s="1"/>
  <c r="G125" i="3" s="1"/>
  <c r="E124" i="3"/>
  <c r="F124" i="3" s="1"/>
  <c r="G124" i="3" s="1"/>
  <c r="E121" i="3"/>
  <c r="F121" i="3" s="1"/>
  <c r="G121" i="3" s="1"/>
  <c r="E118" i="3"/>
  <c r="F118" i="3" s="1"/>
  <c r="G118" i="3" s="1"/>
  <c r="E132" i="3"/>
  <c r="F132" i="3" s="1"/>
  <c r="G132" i="3" s="1"/>
  <c r="AA53" i="9"/>
  <c r="Z53" i="9"/>
  <c r="C60" i="24"/>
  <c r="V60" i="24" s="1"/>
  <c r="AJ52" i="5"/>
  <c r="AK52" i="5" s="1"/>
  <c r="C56" i="10"/>
  <c r="C56" i="24"/>
  <c r="C56" i="8"/>
  <c r="C55" i="10"/>
  <c r="C55" i="24"/>
  <c r="D55" i="12"/>
  <c r="D55" i="24"/>
  <c r="AB56" i="15"/>
  <c r="X56" i="15"/>
  <c r="Y56" i="15" s="1"/>
  <c r="S56" i="15"/>
  <c r="T56" i="15" s="1"/>
  <c r="N56" i="15"/>
  <c r="O56" i="15" s="1"/>
  <c r="S56" i="11"/>
  <c r="T56" i="11" s="1"/>
  <c r="X56" i="11"/>
  <c r="Y56" i="11" s="1"/>
  <c r="N56" i="11"/>
  <c r="O56" i="11" s="1"/>
  <c r="AB56" i="11"/>
  <c r="X57" i="18"/>
  <c r="Y57" i="18" s="1"/>
  <c r="N57" i="18"/>
  <c r="O57" i="18" s="1"/>
  <c r="AB57" i="18"/>
  <c r="S57" i="18"/>
  <c r="T57" i="18" s="1"/>
  <c r="G127" i="3"/>
  <c r="E134" i="3"/>
  <c r="F134" i="3" s="1"/>
  <c r="G134" i="3" s="1"/>
  <c r="E133" i="3"/>
  <c r="F133" i="3" s="1"/>
  <c r="G133" i="3" s="1"/>
  <c r="Q55" i="30"/>
  <c r="X56" i="14"/>
  <c r="Y56" i="14" s="1"/>
  <c r="N56" i="14"/>
  <c r="O56" i="14" s="1"/>
  <c r="AB56" i="14"/>
  <c r="S56" i="14"/>
  <c r="T56" i="14" s="1"/>
  <c r="X56" i="13"/>
  <c r="Y56" i="13" s="1"/>
  <c r="N56" i="13"/>
  <c r="O56" i="13" s="1"/>
  <c r="AB56" i="13"/>
  <c r="S56" i="13"/>
  <c r="T56" i="13" s="1"/>
  <c r="AB52" i="19"/>
  <c r="X52" i="19"/>
  <c r="Y52" i="19" s="1"/>
  <c r="S52" i="19"/>
  <c r="T52" i="19" s="1"/>
  <c r="N52" i="19"/>
  <c r="O52" i="19" s="1"/>
  <c r="AB44" i="15"/>
  <c r="W26" i="12"/>
  <c r="Z16" i="19"/>
  <c r="AA48" i="19"/>
  <c r="Z48" i="18"/>
  <c r="AA46" i="18"/>
  <c r="N54" i="12"/>
  <c r="O54" i="12" s="1"/>
  <c r="Z24" i="10"/>
  <c r="AB50" i="17"/>
  <c r="S48" i="17"/>
  <c r="T48" i="17" s="1"/>
  <c r="N54" i="5"/>
  <c r="O54" i="5" s="1"/>
  <c r="S54" i="5"/>
  <c r="Y53" i="5"/>
  <c r="AD53" i="5"/>
  <c r="AE53" i="5" s="1"/>
  <c r="P53" i="23"/>
  <c r="Q53" i="23" s="1"/>
  <c r="AN52" i="5"/>
  <c r="AT52" i="5" s="1"/>
  <c r="Q53" i="30"/>
  <c r="G41" i="2"/>
  <c r="I34" i="2"/>
  <c r="I33" i="2"/>
  <c r="G34" i="2"/>
  <c r="I32" i="2"/>
  <c r="G37" i="2"/>
  <c r="G38" i="2" s="1"/>
  <c r="I31" i="2"/>
  <c r="B42" i="2"/>
  <c r="I42" i="2" s="1"/>
  <c r="E35" i="2"/>
  <c r="Q54" i="30"/>
  <c r="Q52" i="30"/>
  <c r="Q50" i="30"/>
  <c r="Q48" i="30"/>
  <c r="Q46" i="30"/>
  <c r="Q44" i="30"/>
  <c r="Q42" i="30"/>
  <c r="Q40" i="30"/>
  <c r="Q38" i="30"/>
  <c r="Q36" i="30"/>
  <c r="Q34" i="30"/>
  <c r="Q32" i="30"/>
  <c r="Q30" i="30"/>
  <c r="Q28" i="30"/>
  <c r="Q26" i="30"/>
  <c r="Q24" i="30"/>
  <c r="Q22" i="30"/>
  <c r="Q20" i="30"/>
  <c r="Q18" i="30"/>
  <c r="Q16" i="30"/>
  <c r="Q29" i="23"/>
  <c r="Q56" i="30"/>
  <c r="H65" i="30"/>
  <c r="V154" i="25"/>
  <c r="V148" i="25"/>
  <c r="V155" i="25"/>
  <c r="V149" i="25"/>
  <c r="V156" i="25"/>
  <c r="V150" i="25"/>
  <c r="V157" i="25"/>
  <c r="V151" i="25"/>
  <c r="D38" i="19"/>
  <c r="N38" i="19" s="1"/>
  <c r="O38" i="19" s="1"/>
  <c r="M39" i="5"/>
  <c r="D43" i="18"/>
  <c r="N43" i="18" s="1"/>
  <c r="O43" i="18" s="1"/>
  <c r="C43" i="13"/>
  <c r="M31" i="5"/>
  <c r="C35" i="13"/>
  <c r="Z35" i="13" s="1"/>
  <c r="C25" i="13"/>
  <c r="AA25" i="13" s="1"/>
  <c r="M21" i="5"/>
  <c r="AJ51" i="5"/>
  <c r="AK51" i="5" s="1"/>
  <c r="B69" i="5"/>
  <c r="D49" i="16"/>
  <c r="N49" i="16" s="1"/>
  <c r="O49" i="16" s="1"/>
  <c r="AG70" i="5"/>
  <c r="AG62" i="5"/>
  <c r="K70" i="5"/>
  <c r="E70" i="5"/>
  <c r="V70" i="5"/>
  <c r="AG69" i="5"/>
  <c r="K69" i="5"/>
  <c r="B70" i="5"/>
  <c r="AG64" i="5"/>
  <c r="C10" i="2"/>
  <c r="P67" i="30"/>
  <c r="P68" i="30"/>
  <c r="P69" i="30"/>
  <c r="P70" i="30"/>
  <c r="O66" i="30"/>
  <c r="N67" i="30"/>
  <c r="N68" i="30"/>
  <c r="N69" i="30"/>
  <c r="N70" i="30"/>
  <c r="M66" i="30"/>
  <c r="K67" i="30"/>
  <c r="K68" i="30"/>
  <c r="K69" i="30"/>
  <c r="K70" i="30"/>
  <c r="H66" i="30"/>
  <c r="G67" i="30"/>
  <c r="G68" i="30"/>
  <c r="G69" i="30"/>
  <c r="G70" i="30"/>
  <c r="C66" i="30"/>
  <c r="B67" i="30"/>
  <c r="B68" i="30"/>
  <c r="B69" i="30"/>
  <c r="B70" i="30"/>
  <c r="L68" i="30"/>
  <c r="K14" i="29" s="1"/>
  <c r="I68" i="30"/>
  <c r="I14" i="29" s="1"/>
  <c r="E68" i="30"/>
  <c r="G14" i="29" s="1"/>
  <c r="L67" i="30"/>
  <c r="K13" i="29" s="1"/>
  <c r="J67" i="30"/>
  <c r="J13" i="29" s="1"/>
  <c r="I67" i="30"/>
  <c r="I13" i="29" s="1"/>
  <c r="F67" i="30"/>
  <c r="H13" i="29" s="1"/>
  <c r="E67" i="30"/>
  <c r="G13" i="29" s="1"/>
  <c r="D67" i="30"/>
  <c r="F13" i="29" s="1"/>
  <c r="P66" i="30"/>
  <c r="O67" i="30"/>
  <c r="O68" i="30"/>
  <c r="O69" i="30"/>
  <c r="O70" i="30"/>
  <c r="N66" i="30"/>
  <c r="M67" i="30"/>
  <c r="M68" i="30"/>
  <c r="M69" i="30"/>
  <c r="M70" i="30"/>
  <c r="K66" i="30"/>
  <c r="H67" i="30"/>
  <c r="H68" i="30"/>
  <c r="H69" i="30"/>
  <c r="H70" i="30"/>
  <c r="G66" i="30"/>
  <c r="C67" i="30"/>
  <c r="C68" i="30"/>
  <c r="C69" i="30"/>
  <c r="C70" i="30"/>
  <c r="B66" i="30"/>
  <c r="L70" i="30"/>
  <c r="K16" i="29" s="1"/>
  <c r="J70" i="30"/>
  <c r="J16" i="29" s="1"/>
  <c r="I70" i="30"/>
  <c r="I16" i="29" s="1"/>
  <c r="F70" i="30"/>
  <c r="H16" i="29" s="1"/>
  <c r="E70" i="30"/>
  <c r="G16" i="29" s="1"/>
  <c r="D70" i="30"/>
  <c r="F16" i="29" s="1"/>
  <c r="L69" i="30"/>
  <c r="K15" i="29" s="1"/>
  <c r="J69" i="30"/>
  <c r="J15" i="29" s="1"/>
  <c r="I69" i="30"/>
  <c r="I15" i="29" s="1"/>
  <c r="F69" i="30"/>
  <c r="H15" i="29" s="1"/>
  <c r="E69" i="30"/>
  <c r="G15" i="29" s="1"/>
  <c r="D69" i="30"/>
  <c r="F15" i="29" s="1"/>
  <c r="J68" i="30"/>
  <c r="J14" i="29" s="1"/>
  <c r="F68" i="30"/>
  <c r="H14" i="29" s="1"/>
  <c r="D68" i="30"/>
  <c r="F14" i="29" s="1"/>
  <c r="L66" i="30"/>
  <c r="K12" i="29" s="1"/>
  <c r="J11" i="29"/>
  <c r="J66" i="30"/>
  <c r="J12" i="29" s="1"/>
  <c r="I66" i="30"/>
  <c r="I12" i="29" s="1"/>
  <c r="F66" i="30"/>
  <c r="H12" i="29" s="1"/>
  <c r="E66" i="30"/>
  <c r="G12" i="29" s="1"/>
  <c r="D66" i="30"/>
  <c r="F12" i="29" s="1"/>
  <c r="E64" i="3"/>
  <c r="F64" i="3" s="1"/>
  <c r="G64" i="3" s="1"/>
  <c r="Z35" i="14"/>
  <c r="V49" i="12"/>
  <c r="V43" i="12"/>
  <c r="W46" i="12"/>
  <c r="W38" i="12"/>
  <c r="X54" i="12"/>
  <c r="AB14" i="11"/>
  <c r="X14" i="11"/>
  <c r="Y14" i="11" s="1"/>
  <c r="Z38" i="10"/>
  <c r="Z50" i="8"/>
  <c r="U50" i="8"/>
  <c r="Z13" i="8"/>
  <c r="AA45" i="19"/>
  <c r="AA37" i="19"/>
  <c r="Z29" i="19"/>
  <c r="Z33" i="19"/>
  <c r="AA47" i="19"/>
  <c r="AA18" i="18"/>
  <c r="D44" i="19"/>
  <c r="N44" i="19" s="1"/>
  <c r="O44" i="19" s="1"/>
  <c r="D49" i="18"/>
  <c r="N49" i="18" s="1"/>
  <c r="O49" i="18" s="1"/>
  <c r="C49" i="13"/>
  <c r="M45" i="5"/>
  <c r="C45" i="13"/>
  <c r="M41" i="5"/>
  <c r="D36" i="19"/>
  <c r="N36" i="19" s="1"/>
  <c r="O36" i="19" s="1"/>
  <c r="C41" i="13"/>
  <c r="AA41" i="13" s="1"/>
  <c r="D41" i="18"/>
  <c r="N41" i="18" s="1"/>
  <c r="O41" i="18" s="1"/>
  <c r="M37" i="5"/>
  <c r="C37" i="13"/>
  <c r="Z37" i="13" s="1"/>
  <c r="M33" i="5"/>
  <c r="D28" i="19"/>
  <c r="N28" i="19" s="1"/>
  <c r="O28" i="19" s="1"/>
  <c r="C33" i="13"/>
  <c r="D33" i="18"/>
  <c r="AB33" i="18" s="1"/>
  <c r="M29" i="5"/>
  <c r="D20" i="19"/>
  <c r="N20" i="19" s="1"/>
  <c r="O20" i="19" s="1"/>
  <c r="D23" i="18"/>
  <c r="X23" i="18" s="1"/>
  <c r="Y23" i="18" s="1"/>
  <c r="C23" i="13"/>
  <c r="M19" i="5"/>
  <c r="D15" i="19"/>
  <c r="AB15" i="19" s="1"/>
  <c r="D17" i="18"/>
  <c r="N17" i="18" s="1"/>
  <c r="O17" i="18" s="1"/>
  <c r="M13" i="5"/>
  <c r="C17" i="13"/>
  <c r="Z17" i="13" s="1"/>
  <c r="AB42" i="14"/>
  <c r="N42" i="14"/>
  <c r="O42" i="14" s="1"/>
  <c r="AB38" i="14"/>
  <c r="N38" i="14"/>
  <c r="O38" i="14" s="1"/>
  <c r="AB34" i="14"/>
  <c r="N34" i="14"/>
  <c r="O34" i="14" s="1"/>
  <c r="C8" i="5"/>
  <c r="B63" i="5"/>
  <c r="B65" i="5" s="1"/>
  <c r="B64" i="5"/>
  <c r="B62" i="5"/>
  <c r="C54" i="5"/>
  <c r="C58" i="14" s="1"/>
  <c r="H54" i="5"/>
  <c r="I54" i="5" s="1"/>
  <c r="C63" i="8"/>
  <c r="AA63" i="8" s="1"/>
  <c r="AF63" i="8" s="1"/>
  <c r="N53" i="5"/>
  <c r="O53" i="5" s="1"/>
  <c r="S53" i="5"/>
  <c r="AB50" i="5"/>
  <c r="C54" i="16" s="1"/>
  <c r="S51" i="23"/>
  <c r="AB48" i="5"/>
  <c r="W50" i="5"/>
  <c r="C54" i="17" s="1"/>
  <c r="R51" i="23"/>
  <c r="W48" i="5"/>
  <c r="Q50" i="5"/>
  <c r="C46" i="33" s="1"/>
  <c r="P51" i="23"/>
  <c r="Q51" i="23" s="1"/>
  <c r="D41" i="16"/>
  <c r="N41" i="16" s="1"/>
  <c r="O41" i="16" s="1"/>
  <c r="D33" i="16"/>
  <c r="S33" i="16" s="1"/>
  <c r="T33" i="16" s="1"/>
  <c r="S50" i="5"/>
  <c r="S48" i="5"/>
  <c r="S34" i="5"/>
  <c r="D51" i="14"/>
  <c r="AB51" i="14" s="1"/>
  <c r="E62" i="5"/>
  <c r="Q14" i="30"/>
  <c r="AD52" i="5"/>
  <c r="AE52" i="5" s="1"/>
  <c r="Y52" i="5"/>
  <c r="AB51" i="5"/>
  <c r="S52" i="23"/>
  <c r="AN51" i="5"/>
  <c r="AT51" i="5" s="1"/>
  <c r="W51" i="5"/>
  <c r="R52" i="23"/>
  <c r="Q51" i="5"/>
  <c r="C47" i="33" s="1"/>
  <c r="P52" i="23"/>
  <c r="Q52" i="23" s="1"/>
  <c r="Q18" i="23"/>
  <c r="Q15" i="30"/>
  <c r="Q13" i="30"/>
  <c r="I11" i="29"/>
  <c r="G44" i="2"/>
  <c r="AA46" i="16"/>
  <c r="X50" i="15"/>
  <c r="Y50" i="15" s="1"/>
  <c r="X46" i="15"/>
  <c r="Y46" i="15" s="1"/>
  <c r="S44" i="15"/>
  <c r="T44" i="15" s="1"/>
  <c r="N31" i="15"/>
  <c r="O31" i="15" s="1"/>
  <c r="J19" i="29"/>
  <c r="S31" i="15"/>
  <c r="T31" i="15" s="1"/>
  <c r="X31" i="15"/>
  <c r="Y31" i="15" s="1"/>
  <c r="AA54" i="14"/>
  <c r="S30" i="14"/>
  <c r="T30" i="14" s="1"/>
  <c r="S38" i="14"/>
  <c r="T38" i="14" s="1"/>
  <c r="N30" i="14"/>
  <c r="O30" i="14" s="1"/>
  <c r="V48" i="12"/>
  <c r="V22" i="12"/>
  <c r="X27" i="12"/>
  <c r="V60" i="12"/>
  <c r="V45" i="12"/>
  <c r="W37" i="12"/>
  <c r="W25" i="12"/>
  <c r="X20" i="12"/>
  <c r="S20" i="12"/>
  <c r="T20" i="12" s="1"/>
  <c r="V16" i="12"/>
  <c r="S38" i="12"/>
  <c r="T38" i="12" s="1"/>
  <c r="I19" i="29"/>
  <c r="AA46" i="10"/>
  <c r="U38" i="10"/>
  <c r="U36" i="10"/>
  <c r="U46" i="10"/>
  <c r="Z26" i="10"/>
  <c r="U13" i="10"/>
  <c r="Z32" i="10"/>
  <c r="Z52" i="10"/>
  <c r="Z36" i="10"/>
  <c r="Z20" i="10"/>
  <c r="AA14" i="10"/>
  <c r="Z53" i="10"/>
  <c r="U34" i="10"/>
  <c r="U26" i="10"/>
  <c r="U24" i="10"/>
  <c r="U14" i="10"/>
  <c r="U53" i="10"/>
  <c r="W60" i="24"/>
  <c r="V13" i="24"/>
  <c r="V30" i="24"/>
  <c r="S13" i="24"/>
  <c r="T13" i="24" s="1"/>
  <c r="V22" i="24"/>
  <c r="V50" i="24"/>
  <c r="V42" i="24"/>
  <c r="V26" i="24"/>
  <c r="S44" i="24"/>
  <c r="T44" i="24" s="1"/>
  <c r="W13" i="24"/>
  <c r="V40" i="24"/>
  <c r="V48" i="24"/>
  <c r="W44" i="24"/>
  <c r="S53" i="24"/>
  <c r="T53" i="24" s="1"/>
  <c r="H19" i="29"/>
  <c r="Z44" i="8"/>
  <c r="U13" i="8"/>
  <c r="Z38" i="19"/>
  <c r="Z56" i="19"/>
  <c r="Z43" i="19"/>
  <c r="AA35" i="19"/>
  <c r="AA31" i="19"/>
  <c r="Z30" i="18"/>
  <c r="AA38" i="18"/>
  <c r="Z22" i="18"/>
  <c r="AA35" i="18"/>
  <c r="Z42" i="18"/>
  <c r="AA26" i="18"/>
  <c r="AA20" i="18"/>
  <c r="Z14" i="18"/>
  <c r="AA13" i="18"/>
  <c r="AA21" i="18"/>
  <c r="AA54" i="18"/>
  <c r="AA50" i="18"/>
  <c r="AA44" i="18"/>
  <c r="Z40" i="18"/>
  <c r="AA36" i="18"/>
  <c r="Z34" i="18"/>
  <c r="Z32" i="18"/>
  <c r="AA28" i="18"/>
  <c r="Z24" i="18"/>
  <c r="AA16" i="18"/>
  <c r="Z52" i="18"/>
  <c r="AA50" i="19"/>
  <c r="AA40" i="19"/>
  <c r="AA24" i="19"/>
  <c r="AA28" i="19"/>
  <c r="AA20" i="19"/>
  <c r="AA46" i="19"/>
  <c r="AA44" i="19"/>
  <c r="AA42" i="19"/>
  <c r="Z36" i="19"/>
  <c r="Z34" i="19"/>
  <c r="Z32" i="19"/>
  <c r="Z30" i="19"/>
  <c r="AA26" i="19"/>
  <c r="AA22" i="19"/>
  <c r="AA18" i="19"/>
  <c r="AA14" i="19"/>
  <c r="Z13" i="19"/>
  <c r="Z41" i="19"/>
  <c r="AA39" i="19"/>
  <c r="Z27" i="19"/>
  <c r="AA25" i="19"/>
  <c r="Z23" i="19"/>
  <c r="AA21" i="19"/>
  <c r="Z19" i="19"/>
  <c r="AA17" i="19"/>
  <c r="AA15" i="19"/>
  <c r="S26" i="19"/>
  <c r="T26" i="19" s="1"/>
  <c r="AA51" i="18"/>
  <c r="Z49" i="18"/>
  <c r="Z43" i="18"/>
  <c r="Z29" i="18"/>
  <c r="AA15" i="18"/>
  <c r="AA39" i="18"/>
  <c r="Z33" i="18"/>
  <c r="AA25" i="18"/>
  <c r="Z19" i="18"/>
  <c r="AA53" i="18"/>
  <c r="S61" i="18"/>
  <c r="T61" i="18" s="1"/>
  <c r="AA61" i="18"/>
  <c r="AA47" i="18"/>
  <c r="Z45" i="18"/>
  <c r="AA41" i="18"/>
  <c r="AA37" i="18"/>
  <c r="Z31" i="18"/>
  <c r="AA27" i="18"/>
  <c r="AA23" i="18"/>
  <c r="Z17" i="18"/>
  <c r="X61" i="18"/>
  <c r="Y61" i="18" s="1"/>
  <c r="U32" i="10"/>
  <c r="U20" i="10"/>
  <c r="X50" i="14"/>
  <c r="Y50" i="14" s="1"/>
  <c r="O61" i="18"/>
  <c r="V28" i="24"/>
  <c r="V20" i="24"/>
  <c r="AA13" i="10"/>
  <c r="N50" i="17"/>
  <c r="O50" i="17" s="1"/>
  <c r="S42" i="14"/>
  <c r="T42" i="14" s="1"/>
  <c r="S34" i="14"/>
  <c r="T34" i="14" s="1"/>
  <c r="S50" i="14"/>
  <c r="T50" i="14" s="1"/>
  <c r="X26" i="19"/>
  <c r="Y26" i="19" s="1"/>
  <c r="X44" i="15"/>
  <c r="Y44" i="15" s="1"/>
  <c r="S54" i="12"/>
  <c r="T54" i="12" s="1"/>
  <c r="S33" i="17"/>
  <c r="T33" i="17" s="1"/>
  <c r="S27" i="12"/>
  <c r="T27" i="12" s="1"/>
  <c r="AB26" i="19"/>
  <c r="V19" i="24"/>
  <c r="X46" i="12"/>
  <c r="S46" i="12"/>
  <c r="T46" i="12" s="1"/>
  <c r="W29" i="12"/>
  <c r="AB50" i="15"/>
  <c r="AB46" i="15"/>
  <c r="AB33" i="17"/>
  <c r="S50" i="15"/>
  <c r="T50" i="15" s="1"/>
  <c r="S46" i="15"/>
  <c r="T46" i="15" s="1"/>
  <c r="S14" i="11"/>
  <c r="T14" i="11" s="1"/>
  <c r="N14" i="14"/>
  <c r="O14" i="14" s="1"/>
  <c r="S14" i="14"/>
  <c r="T14" i="14" s="1"/>
  <c r="N18" i="14"/>
  <c r="O18" i="14" s="1"/>
  <c r="S18" i="14"/>
  <c r="T18" i="14" s="1"/>
  <c r="N22" i="14"/>
  <c r="O22" i="14" s="1"/>
  <c r="S22" i="14"/>
  <c r="T22" i="14" s="1"/>
  <c r="N26" i="14"/>
  <c r="O26" i="14" s="1"/>
  <c r="S26" i="14"/>
  <c r="T26" i="14" s="1"/>
  <c r="C58" i="9"/>
  <c r="G52" i="5"/>
  <c r="Z49" i="9"/>
  <c r="AA49" i="9"/>
  <c r="C45" i="9"/>
  <c r="G44" i="5"/>
  <c r="C37" i="9"/>
  <c r="G36" i="5"/>
  <c r="C33" i="9"/>
  <c r="G32" i="5"/>
  <c r="C29" i="9"/>
  <c r="G28" i="5"/>
  <c r="C21" i="9"/>
  <c r="G20" i="5"/>
  <c r="C17" i="9"/>
  <c r="G16" i="5"/>
  <c r="U27" i="24"/>
  <c r="V27" i="24"/>
  <c r="V13" i="12"/>
  <c r="W13" i="12"/>
  <c r="N52" i="12"/>
  <c r="O52" i="12" s="1"/>
  <c r="X52" i="12"/>
  <c r="S52" i="12"/>
  <c r="T52" i="12" s="1"/>
  <c r="N50" i="12"/>
  <c r="O50" i="12" s="1"/>
  <c r="S50" i="12"/>
  <c r="T50" i="12" s="1"/>
  <c r="C14" i="5"/>
  <c r="C18" i="14" s="1"/>
  <c r="C18" i="8"/>
  <c r="C18" i="24"/>
  <c r="C18" i="10"/>
  <c r="Y12" i="5"/>
  <c r="S12" i="5"/>
  <c r="C12" i="5"/>
  <c r="C16" i="14" s="1"/>
  <c r="C16" i="8"/>
  <c r="D24" i="19"/>
  <c r="D29" i="18"/>
  <c r="X29" i="18" s="1"/>
  <c r="Y29" i="18" s="1"/>
  <c r="C29" i="13"/>
  <c r="C62" i="13"/>
  <c r="D56" i="19"/>
  <c r="N56" i="19" s="1"/>
  <c r="S52" i="5"/>
  <c r="D56" i="8" s="1"/>
  <c r="C52" i="5"/>
  <c r="C62" i="10"/>
  <c r="C62" i="24"/>
  <c r="N52" i="5"/>
  <c r="O52" i="5" s="1"/>
  <c r="H52" i="5"/>
  <c r="I52" i="5" s="1"/>
  <c r="O60" i="24"/>
  <c r="S60" i="24"/>
  <c r="T60" i="24" s="1"/>
  <c r="Y51" i="5"/>
  <c r="D55" i="10" s="1"/>
  <c r="C55" i="8"/>
  <c r="AD51" i="5"/>
  <c r="AE51" i="5" s="1"/>
  <c r="S51" i="5"/>
  <c r="C60" i="10"/>
  <c r="O60" i="12"/>
  <c r="S60" i="12"/>
  <c r="T60" i="12" s="1"/>
  <c r="D59" i="16"/>
  <c r="N59" i="16" s="1"/>
  <c r="D59" i="17"/>
  <c r="AH42" i="5"/>
  <c r="AN42" i="5"/>
  <c r="AT42" i="5" s="1"/>
  <c r="AJ42" i="5"/>
  <c r="AK42" i="5" s="1"/>
  <c r="AH40" i="5"/>
  <c r="AN40" i="5"/>
  <c r="AT40" i="5" s="1"/>
  <c r="AJ40" i="5"/>
  <c r="AK40" i="5" s="1"/>
  <c r="AH38" i="5"/>
  <c r="AN38" i="5"/>
  <c r="AT38" i="5" s="1"/>
  <c r="AJ38" i="5"/>
  <c r="AK38" i="5" s="1"/>
  <c r="AH36" i="5"/>
  <c r="AN36" i="5"/>
  <c r="AT36" i="5" s="1"/>
  <c r="AJ36" i="5"/>
  <c r="AK36" i="5" s="1"/>
  <c r="AH34" i="5"/>
  <c r="AN34" i="5"/>
  <c r="AT34" i="5" s="1"/>
  <c r="AJ34" i="5"/>
  <c r="AK34" i="5" s="1"/>
  <c r="AH32" i="5"/>
  <c r="AN32" i="5"/>
  <c r="AT32" i="5" s="1"/>
  <c r="AJ32" i="5"/>
  <c r="AK32" i="5" s="1"/>
  <c r="AH30" i="5"/>
  <c r="AN30" i="5"/>
  <c r="AT30" i="5" s="1"/>
  <c r="AJ30" i="5"/>
  <c r="AK30" i="5" s="1"/>
  <c r="AH28" i="5"/>
  <c r="AN28" i="5"/>
  <c r="AT28" i="5" s="1"/>
  <c r="AJ28" i="5"/>
  <c r="AK28" i="5" s="1"/>
  <c r="AH26" i="5"/>
  <c r="AN26" i="5"/>
  <c r="AT26" i="5" s="1"/>
  <c r="AJ26" i="5"/>
  <c r="AK26" i="5" s="1"/>
  <c r="AH24" i="5"/>
  <c r="AN24" i="5"/>
  <c r="AT24" i="5" s="1"/>
  <c r="AJ24" i="5"/>
  <c r="AK24" i="5" s="1"/>
  <c r="AN22" i="5"/>
  <c r="AT22" i="5" s="1"/>
  <c r="AH22" i="5"/>
  <c r="AJ22" i="5"/>
  <c r="AK22" i="5" s="1"/>
  <c r="AN20" i="5"/>
  <c r="AT20" i="5" s="1"/>
  <c r="AH20" i="5"/>
  <c r="AJ20" i="5"/>
  <c r="AK20" i="5" s="1"/>
  <c r="AN18" i="5"/>
  <c r="AT18" i="5" s="1"/>
  <c r="AH18" i="5"/>
  <c r="AJ18" i="5"/>
  <c r="AK18" i="5" s="1"/>
  <c r="AN16" i="5"/>
  <c r="AT16" i="5" s="1"/>
  <c r="AH16" i="5"/>
  <c r="AJ16" i="5"/>
  <c r="AK16" i="5" s="1"/>
  <c r="AH14" i="5"/>
  <c r="AN14" i="5"/>
  <c r="AT14" i="5" s="1"/>
  <c r="AJ14" i="5"/>
  <c r="AK14" i="5" s="1"/>
  <c r="AH12" i="5"/>
  <c r="AN12" i="5"/>
  <c r="AT12" i="5" s="1"/>
  <c r="AJ12" i="5"/>
  <c r="AK12" i="5" s="1"/>
  <c r="AI10" i="5"/>
  <c r="D14" i="16"/>
  <c r="AH8" i="5"/>
  <c r="AI8" i="5" s="1"/>
  <c r="L44" i="5"/>
  <c r="AN44" i="5"/>
  <c r="AT44" i="5" s="1"/>
  <c r="N44" i="5"/>
  <c r="O44" i="5" s="1"/>
  <c r="L42" i="5"/>
  <c r="O43" i="23"/>
  <c r="Q43" i="23" s="1"/>
  <c r="N42" i="5"/>
  <c r="O42" i="5" s="1"/>
  <c r="L40" i="5"/>
  <c r="N40" i="5"/>
  <c r="O40" i="5" s="1"/>
  <c r="O39" i="23"/>
  <c r="Q39" i="23" s="1"/>
  <c r="L38" i="5"/>
  <c r="N38" i="5"/>
  <c r="O38" i="5" s="1"/>
  <c r="L36" i="5"/>
  <c r="O37" i="23"/>
  <c r="N36" i="5"/>
  <c r="O36" i="5" s="1"/>
  <c r="L34" i="5"/>
  <c r="O35" i="23"/>
  <c r="N34" i="5"/>
  <c r="O34" i="5" s="1"/>
  <c r="L32" i="5"/>
  <c r="O33" i="23"/>
  <c r="N32" i="5"/>
  <c r="O32" i="5" s="1"/>
  <c r="L30" i="5"/>
  <c r="O31" i="23"/>
  <c r="Q31" i="23" s="1"/>
  <c r="N30" i="5"/>
  <c r="O30" i="5" s="1"/>
  <c r="L28" i="5"/>
  <c r="N28" i="5"/>
  <c r="O28" i="5" s="1"/>
  <c r="L26" i="5"/>
  <c r="O27" i="23"/>
  <c r="N26" i="5"/>
  <c r="O26" i="5" s="1"/>
  <c r="L24" i="5"/>
  <c r="N24" i="5"/>
  <c r="O24" i="5" s="1"/>
  <c r="O23" i="23"/>
  <c r="Q23" i="23" s="1"/>
  <c r="L22" i="5"/>
  <c r="N22" i="5"/>
  <c r="O22" i="5" s="1"/>
  <c r="L20" i="5"/>
  <c r="N20" i="5"/>
  <c r="O20" i="5" s="1"/>
  <c r="L18" i="5"/>
  <c r="O19" i="23"/>
  <c r="Q19" i="23" s="1"/>
  <c r="N18" i="5"/>
  <c r="O18" i="5" s="1"/>
  <c r="L16" i="5"/>
  <c r="O17" i="23"/>
  <c r="N16" i="5"/>
  <c r="O16" i="5" s="1"/>
  <c r="L14" i="5"/>
  <c r="O15" i="23"/>
  <c r="N14" i="5"/>
  <c r="O14" i="5" s="1"/>
  <c r="L12" i="5"/>
  <c r="N12" i="5"/>
  <c r="O12" i="5" s="1"/>
  <c r="L10" i="5"/>
  <c r="O11" i="23"/>
  <c r="K62" i="5"/>
  <c r="M84" i="5" s="1"/>
  <c r="L8" i="5"/>
  <c r="M8" i="5" s="1"/>
  <c r="F45" i="5"/>
  <c r="AN45" i="5"/>
  <c r="AT45" i="5" s="1"/>
  <c r="F43" i="5"/>
  <c r="C42" i="9"/>
  <c r="G41" i="5"/>
  <c r="C40" i="9"/>
  <c r="G39" i="5"/>
  <c r="C38" i="9"/>
  <c r="G37" i="5"/>
  <c r="C36" i="9"/>
  <c r="G35" i="5"/>
  <c r="F33" i="5"/>
  <c r="AN33" i="5"/>
  <c r="AT33" i="5" s="1"/>
  <c r="C32" i="9"/>
  <c r="G31" i="5"/>
  <c r="C30" i="9"/>
  <c r="G29" i="5"/>
  <c r="C28" i="9"/>
  <c r="G27" i="5"/>
  <c r="F25" i="5"/>
  <c r="AN25" i="5"/>
  <c r="AT25" i="5" s="1"/>
  <c r="C24" i="9"/>
  <c r="G23" i="5"/>
  <c r="C22" i="9"/>
  <c r="G21" i="5"/>
  <c r="C20" i="9"/>
  <c r="G19" i="5"/>
  <c r="F17" i="5"/>
  <c r="AN17" i="5"/>
  <c r="AT17" i="5" s="1"/>
  <c r="C16" i="9"/>
  <c r="G15" i="5"/>
  <c r="C14" i="9"/>
  <c r="G13" i="5"/>
  <c r="AN9" i="5"/>
  <c r="AT9" i="5" s="1"/>
  <c r="E63" i="5"/>
  <c r="E65" i="5" s="1"/>
  <c r="AB43" i="5"/>
  <c r="S44" i="23"/>
  <c r="AB41" i="5"/>
  <c r="AC41" i="5" s="1"/>
  <c r="AN41" i="5"/>
  <c r="AT41" i="5" s="1"/>
  <c r="AA62" i="5"/>
  <c r="AA63" i="5"/>
  <c r="AA64" i="5"/>
  <c r="AC38" i="5"/>
  <c r="D42" i="15"/>
  <c r="C42" i="16"/>
  <c r="AC34" i="5"/>
  <c r="D38" i="15"/>
  <c r="C38" i="16"/>
  <c r="C37" i="16"/>
  <c r="AC33" i="5"/>
  <c r="D37" i="14"/>
  <c r="AC32" i="5"/>
  <c r="D36" i="15"/>
  <c r="AC30" i="5"/>
  <c r="D34" i="15"/>
  <c r="C34" i="16"/>
  <c r="C33" i="16"/>
  <c r="AC29" i="5"/>
  <c r="D33" i="14"/>
  <c r="C31" i="16"/>
  <c r="AC27" i="5"/>
  <c r="D31" i="14"/>
  <c r="AC26" i="5"/>
  <c r="D30" i="15"/>
  <c r="C30" i="16"/>
  <c r="AC24" i="5"/>
  <c r="D28" i="15"/>
  <c r="AC22" i="5"/>
  <c r="D26" i="15"/>
  <c r="C26" i="16"/>
  <c r="C25" i="16"/>
  <c r="AC21" i="5"/>
  <c r="D25" i="14"/>
  <c r="AC18" i="5"/>
  <c r="D22" i="15"/>
  <c r="C22" i="16"/>
  <c r="AC16" i="5"/>
  <c r="D20" i="15"/>
  <c r="AC14" i="5"/>
  <c r="D18" i="15"/>
  <c r="C18" i="16"/>
  <c r="C17" i="16"/>
  <c r="AC13" i="5"/>
  <c r="D17" i="14"/>
  <c r="AC10" i="5"/>
  <c r="D14" i="15"/>
  <c r="C14" i="16"/>
  <c r="C13" i="16"/>
  <c r="D13" i="14"/>
  <c r="W43" i="5"/>
  <c r="D47" i="24"/>
  <c r="D47" i="12"/>
  <c r="R44" i="23"/>
  <c r="W41" i="5"/>
  <c r="X41" i="5" s="1"/>
  <c r="D45" i="24"/>
  <c r="D45" i="12"/>
  <c r="R42" i="23"/>
  <c r="W38" i="5"/>
  <c r="D42" i="24"/>
  <c r="Y38" i="5"/>
  <c r="D42" i="12"/>
  <c r="W36" i="5"/>
  <c r="D40" i="12"/>
  <c r="R37" i="23"/>
  <c r="D40" i="24"/>
  <c r="W32" i="5"/>
  <c r="D36" i="24"/>
  <c r="D36" i="12"/>
  <c r="R33" i="23"/>
  <c r="D34" i="11"/>
  <c r="D34" i="13"/>
  <c r="C34" i="17"/>
  <c r="X30" i="5"/>
  <c r="D33" i="11"/>
  <c r="D33" i="13"/>
  <c r="C33" i="17"/>
  <c r="X29" i="5"/>
  <c r="W28" i="5"/>
  <c r="D32" i="12"/>
  <c r="R29" i="23"/>
  <c r="T29" i="23" s="1"/>
  <c r="D32" i="24"/>
  <c r="W26" i="5"/>
  <c r="D30" i="12"/>
  <c r="D30" i="24"/>
  <c r="Y26" i="5"/>
  <c r="W21" i="5"/>
  <c r="R22" i="23"/>
  <c r="T22" i="23" s="1"/>
  <c r="D25" i="24"/>
  <c r="D25" i="12"/>
  <c r="AN21" i="5"/>
  <c r="AT21" i="5" s="1"/>
  <c r="D23" i="11"/>
  <c r="D23" i="13"/>
  <c r="C23" i="17"/>
  <c r="X19" i="5"/>
  <c r="W18" i="5"/>
  <c r="X18" i="5" s="1"/>
  <c r="D22" i="24"/>
  <c r="Y18" i="5"/>
  <c r="D22" i="12"/>
  <c r="W13" i="5"/>
  <c r="D17" i="24"/>
  <c r="N17" i="24" s="1"/>
  <c r="D17" i="12"/>
  <c r="R14" i="23"/>
  <c r="T14" i="23" s="1"/>
  <c r="AN13" i="5"/>
  <c r="AT13" i="5" s="1"/>
  <c r="W11" i="5"/>
  <c r="C15" i="17" s="1"/>
  <c r="D15" i="24"/>
  <c r="D15" i="12"/>
  <c r="D13" i="11"/>
  <c r="D13" i="13"/>
  <c r="X9" i="5"/>
  <c r="C13" i="17"/>
  <c r="Q52" i="5"/>
  <c r="C48" i="33" s="1"/>
  <c r="Q47" i="5"/>
  <c r="C43" i="33" s="1"/>
  <c r="P48" i="23"/>
  <c r="S47" i="5"/>
  <c r="C51" i="12"/>
  <c r="AN47" i="5"/>
  <c r="AT47" i="5" s="1"/>
  <c r="Q43" i="5"/>
  <c r="C39" i="33" s="1"/>
  <c r="P44" i="23"/>
  <c r="Q44" i="23" s="1"/>
  <c r="S43" i="5"/>
  <c r="C47" i="12"/>
  <c r="Q40" i="5"/>
  <c r="C36" i="33" s="1"/>
  <c r="S40" i="5"/>
  <c r="C44" i="12"/>
  <c r="P41" i="23"/>
  <c r="Q41" i="23" s="1"/>
  <c r="C42" i="11"/>
  <c r="Q37" i="5"/>
  <c r="AN37" i="5"/>
  <c r="AT37" i="5" s="1"/>
  <c r="Q32" i="5"/>
  <c r="C28" i="33" s="1"/>
  <c r="S32" i="5"/>
  <c r="C36" i="12"/>
  <c r="P33" i="23"/>
  <c r="Q29" i="5"/>
  <c r="C25" i="33" s="1"/>
  <c r="C33" i="12"/>
  <c r="AN29" i="5"/>
  <c r="AT29" i="5" s="1"/>
  <c r="P30" i="23"/>
  <c r="Q20" i="5"/>
  <c r="C16" i="33" s="1"/>
  <c r="S20" i="5"/>
  <c r="C24" i="12"/>
  <c r="P21" i="23"/>
  <c r="Q16" i="5"/>
  <c r="C12" i="33" s="1"/>
  <c r="S16" i="5"/>
  <c r="C20" i="12"/>
  <c r="P17" i="23"/>
  <c r="Q14" i="5"/>
  <c r="C10" i="33" s="1"/>
  <c r="S14" i="5"/>
  <c r="C18" i="12"/>
  <c r="P63" i="5"/>
  <c r="P65" i="5" s="1"/>
  <c r="P64" i="5"/>
  <c r="F53" i="5"/>
  <c r="C54" i="9" s="1"/>
  <c r="H53" i="5"/>
  <c r="I53" i="5" s="1"/>
  <c r="F51" i="5"/>
  <c r="H51" i="5"/>
  <c r="I51" i="5" s="1"/>
  <c r="F49" i="5"/>
  <c r="H49" i="5"/>
  <c r="I49" i="5" s="1"/>
  <c r="F47" i="5"/>
  <c r="L51" i="5"/>
  <c r="C55" i="13" s="1"/>
  <c r="N51" i="5"/>
  <c r="O51" i="5" s="1"/>
  <c r="O50" i="23"/>
  <c r="Q50" i="23" s="1"/>
  <c r="N49" i="5"/>
  <c r="O49" i="5" s="1"/>
  <c r="L49" i="5"/>
  <c r="AN49" i="5"/>
  <c r="AT49" i="5" s="1"/>
  <c r="L47" i="5"/>
  <c r="O48" i="23"/>
  <c r="N47" i="5"/>
  <c r="O47" i="5" s="1"/>
  <c r="C47" i="9"/>
  <c r="G46" i="5"/>
  <c r="C43" i="9"/>
  <c r="G42" i="5"/>
  <c r="C35" i="9"/>
  <c r="G34" i="5"/>
  <c r="C31" i="9"/>
  <c r="G30" i="5"/>
  <c r="C27" i="9"/>
  <c r="G26" i="5"/>
  <c r="C19" i="9"/>
  <c r="G18" i="5"/>
  <c r="C15" i="9"/>
  <c r="G14" i="5"/>
  <c r="U35" i="10"/>
  <c r="AA35" i="10"/>
  <c r="AA13" i="14"/>
  <c r="Z13" i="14"/>
  <c r="T39" i="5"/>
  <c r="X42" i="14"/>
  <c r="Y42" i="14" s="1"/>
  <c r="X38" i="14"/>
  <c r="Y38" i="14" s="1"/>
  <c r="X34" i="14"/>
  <c r="Y34" i="14" s="1"/>
  <c r="X30" i="14"/>
  <c r="Y30" i="14" s="1"/>
  <c r="X26" i="14"/>
  <c r="Y26" i="14" s="1"/>
  <c r="X22" i="14"/>
  <c r="Y22" i="14" s="1"/>
  <c r="X18" i="14"/>
  <c r="Y18" i="14" s="1"/>
  <c r="X14" i="14"/>
  <c r="Y14" i="14" s="1"/>
  <c r="AB61" i="18"/>
  <c r="K64" i="5"/>
  <c r="AG63" i="5"/>
  <c r="AG65" i="5" s="1"/>
  <c r="C36" i="16"/>
  <c r="C28" i="16"/>
  <c r="C20" i="16"/>
  <c r="C16" i="24"/>
  <c r="D13" i="15"/>
  <c r="D17" i="15"/>
  <c r="D25" i="15"/>
  <c r="D33" i="15"/>
  <c r="D37" i="15"/>
  <c r="D20" i="14"/>
  <c r="D28" i="14"/>
  <c r="D36" i="14"/>
  <c r="C53" i="5"/>
  <c r="C57" i="14" s="1"/>
  <c r="D14" i="17"/>
  <c r="V64" i="5"/>
  <c r="V63" i="5"/>
  <c r="V65" i="5" s="1"/>
  <c r="H47" i="5"/>
  <c r="I47" i="5" s="1"/>
  <c r="H45" i="5"/>
  <c r="I45" i="5" s="1"/>
  <c r="H43" i="5"/>
  <c r="I43" i="5" s="1"/>
  <c r="AD41" i="5"/>
  <c r="AE41" i="5" s="1"/>
  <c r="H41" i="5"/>
  <c r="I41" i="5" s="1"/>
  <c r="H39" i="5"/>
  <c r="I39" i="5" s="1"/>
  <c r="H37" i="5"/>
  <c r="I37" i="5" s="1"/>
  <c r="M25" i="5"/>
  <c r="H25" i="5"/>
  <c r="I25" i="5" s="1"/>
  <c r="H15" i="5"/>
  <c r="I15" i="5" s="1"/>
  <c r="AD12" i="5"/>
  <c r="AE12" i="5" s="1"/>
  <c r="F9" i="5"/>
  <c r="G9" i="5" s="1"/>
  <c r="AJ8" i="5"/>
  <c r="AK8" i="5" s="1"/>
  <c r="P62" i="5"/>
  <c r="U44" i="8"/>
  <c r="X60" i="12"/>
  <c r="X50" i="12"/>
  <c r="S42" i="23"/>
  <c r="O21" i="23"/>
  <c r="R19" i="23"/>
  <c r="AN43" i="5"/>
  <c r="AT43" i="5" s="1"/>
  <c r="AN35" i="5"/>
  <c r="AT35" i="5" s="1"/>
  <c r="AN27" i="5"/>
  <c r="AT27" i="5" s="1"/>
  <c r="AN19" i="5"/>
  <c r="AT19" i="5" s="1"/>
  <c r="AN11" i="5"/>
  <c r="AT11" i="5" s="1"/>
  <c r="C41" i="12"/>
  <c r="C51" i="5"/>
  <c r="S37" i="5"/>
  <c r="S29" i="5"/>
  <c r="AA52" i="8"/>
  <c r="Z52" i="8"/>
  <c r="U52" i="8"/>
  <c r="N38" i="12"/>
  <c r="O38" i="12" s="1"/>
  <c r="X38" i="12"/>
  <c r="D45" i="17"/>
  <c r="D45" i="16"/>
  <c r="D35" i="17"/>
  <c r="D35" i="16"/>
  <c r="D17" i="17"/>
  <c r="D17" i="16"/>
  <c r="D13" i="17"/>
  <c r="D13" i="16"/>
  <c r="C46" i="5"/>
  <c r="C50" i="14" s="1"/>
  <c r="AA50" i="14" s="1"/>
  <c r="S46" i="5"/>
  <c r="Y44" i="5"/>
  <c r="C44" i="5"/>
  <c r="C48" i="14" s="1"/>
  <c r="Z48" i="14" s="1"/>
  <c r="S44" i="5"/>
  <c r="Y41" i="5"/>
  <c r="C45" i="10"/>
  <c r="C45" i="24"/>
  <c r="C45" i="8"/>
  <c r="Y39" i="5"/>
  <c r="C43" i="8"/>
  <c r="Y30" i="5"/>
  <c r="S30" i="5"/>
  <c r="Y25" i="5"/>
  <c r="S25" i="5"/>
  <c r="C25" i="5"/>
  <c r="C29" i="14" s="1"/>
  <c r="C29" i="10"/>
  <c r="C29" i="24"/>
  <c r="C29" i="8"/>
  <c r="Y23" i="5"/>
  <c r="C23" i="5"/>
  <c r="C27" i="14" s="1"/>
  <c r="C27" i="8"/>
  <c r="N53" i="24"/>
  <c r="O53" i="24" s="1"/>
  <c r="W53" i="24"/>
  <c r="D40" i="19"/>
  <c r="D45" i="18"/>
  <c r="D30" i="19"/>
  <c r="D35" i="18"/>
  <c r="Y28" i="5"/>
  <c r="D51" i="17"/>
  <c r="D51" i="16"/>
  <c r="D29" i="17"/>
  <c r="D29" i="16"/>
  <c r="S11" i="5"/>
  <c r="Q11" i="5"/>
  <c r="C7" i="33" s="1"/>
  <c r="D32" i="19"/>
  <c r="D37" i="18"/>
  <c r="D22" i="19"/>
  <c r="D25" i="18"/>
  <c r="W46" i="5"/>
  <c r="D50" i="24"/>
  <c r="Y46" i="5"/>
  <c r="W44" i="5"/>
  <c r="D48" i="24"/>
  <c r="D48" i="12"/>
  <c r="W35" i="5"/>
  <c r="D39" i="24"/>
  <c r="D39" i="12"/>
  <c r="W33" i="5"/>
  <c r="X33" i="5" s="1"/>
  <c r="D37" i="24"/>
  <c r="D37" i="12"/>
  <c r="W25" i="5"/>
  <c r="D29" i="24"/>
  <c r="D29" i="12"/>
  <c r="W22" i="5"/>
  <c r="X22" i="5" s="1"/>
  <c r="D26" i="24"/>
  <c r="Y22" i="5"/>
  <c r="D26" i="12"/>
  <c r="W17" i="5"/>
  <c r="D21" i="24"/>
  <c r="D21" i="12"/>
  <c r="W14" i="5"/>
  <c r="D18" i="11" s="1"/>
  <c r="D18" i="24"/>
  <c r="Y14" i="5"/>
  <c r="D18" i="12"/>
  <c r="Q28" i="5"/>
  <c r="C24" i="33" s="1"/>
  <c r="S28" i="5"/>
  <c r="Q24" i="5"/>
  <c r="C20" i="33" s="1"/>
  <c r="S24" i="5"/>
  <c r="T39" i="23"/>
  <c r="Q24" i="23"/>
  <c r="T23" i="23"/>
  <c r="Q12" i="23"/>
  <c r="Y36" i="5"/>
  <c r="Y43" i="5"/>
  <c r="Y35" i="5"/>
  <c r="Y32" i="5"/>
  <c r="Y21" i="5"/>
  <c r="Y13" i="5"/>
  <c r="Y11" i="5"/>
  <c r="K63" i="5"/>
  <c r="K65" i="5" s="1"/>
  <c r="AA49" i="19"/>
  <c r="Z49" i="19"/>
  <c r="D60" i="10"/>
  <c r="N60" i="10" s="1"/>
  <c r="D53" i="15"/>
  <c r="C53" i="16"/>
  <c r="D53" i="14"/>
  <c r="C45" i="16"/>
  <c r="C62" i="15"/>
  <c r="D49" i="15"/>
  <c r="C49" i="16"/>
  <c r="D49" i="14"/>
  <c r="D49" i="11"/>
  <c r="C49" i="17"/>
  <c r="D49" i="13"/>
  <c r="D41" i="11"/>
  <c r="C41" i="17"/>
  <c r="D41" i="13"/>
  <c r="D35" i="13"/>
  <c r="D31" i="11"/>
  <c r="C31" i="17"/>
  <c r="D31" i="13"/>
  <c r="D28" i="11"/>
  <c r="D28" i="13"/>
  <c r="C28" i="17"/>
  <c r="D24" i="11"/>
  <c r="D24" i="13"/>
  <c r="C24" i="17"/>
  <c r="D20" i="11"/>
  <c r="D20" i="13"/>
  <c r="C20" i="17"/>
  <c r="D16" i="11"/>
  <c r="D16" i="13"/>
  <c r="C16" i="17"/>
  <c r="C19" i="11"/>
  <c r="C16" i="15"/>
  <c r="T46" i="23"/>
  <c r="Z55" i="18"/>
  <c r="AA55" i="18"/>
  <c r="AN8" i="5"/>
  <c r="D39" i="16"/>
  <c r="D31" i="16"/>
  <c r="E64" i="5"/>
  <c r="K11" i="29"/>
  <c r="AA43" i="14"/>
  <c r="Z43" i="14"/>
  <c r="AA44" i="14"/>
  <c r="Z44" i="14"/>
  <c r="H11" i="29"/>
  <c r="G11" i="29"/>
  <c r="F11" i="29"/>
  <c r="G86" i="3" l="1"/>
  <c r="G100" i="3" s="1"/>
  <c r="F104" i="3"/>
  <c r="F105" i="3"/>
  <c r="G130" i="3"/>
  <c r="F149" i="3"/>
  <c r="F148" i="3"/>
  <c r="H45" i="3"/>
  <c r="H46" i="3" s="1"/>
  <c r="H47" i="3" s="1"/>
  <c r="V34" i="12"/>
  <c r="S53" i="12"/>
  <c r="T53" i="12" s="1"/>
  <c r="AA14" i="17"/>
  <c r="AB50" i="14"/>
  <c r="AB17" i="8"/>
  <c r="C35" i="17"/>
  <c r="AA35" i="17" s="1"/>
  <c r="V44" i="24"/>
  <c r="Z34" i="10"/>
  <c r="X53" i="12"/>
  <c r="C21" i="15"/>
  <c r="Z21" i="15" s="1"/>
  <c r="U50" i="10"/>
  <c r="Z50" i="10"/>
  <c r="D27" i="16"/>
  <c r="N27" i="16" s="1"/>
  <c r="O27" i="16" s="1"/>
  <c r="Q30" i="23"/>
  <c r="V34" i="24"/>
  <c r="X48" i="16"/>
  <c r="Y48" i="16" s="1"/>
  <c r="T25" i="23"/>
  <c r="D45" i="14"/>
  <c r="X45" i="14" s="1"/>
  <c r="C29" i="16"/>
  <c r="T50" i="23"/>
  <c r="Q22" i="23"/>
  <c r="T41" i="23"/>
  <c r="R41" i="5"/>
  <c r="D27" i="13"/>
  <c r="N27" i="13" s="1"/>
  <c r="O27" i="13" s="1"/>
  <c r="D21" i="18"/>
  <c r="Z42" i="10"/>
  <c r="N48" i="16"/>
  <c r="O48" i="16" s="1"/>
  <c r="D27" i="17"/>
  <c r="N27" i="17" s="1"/>
  <c r="O27" i="17" s="1"/>
  <c r="D13" i="10"/>
  <c r="N13" i="10" s="1"/>
  <c r="O13" i="10" s="1"/>
  <c r="C34" i="15"/>
  <c r="AA34" i="15" s="1"/>
  <c r="W27" i="12"/>
  <c r="U52" i="10"/>
  <c r="S48" i="16"/>
  <c r="T48" i="16" s="1"/>
  <c r="AB48" i="17"/>
  <c r="D50" i="18"/>
  <c r="N50" i="18" s="1"/>
  <c r="O50" i="18" s="1"/>
  <c r="Q28" i="23"/>
  <c r="Q36" i="23"/>
  <c r="T36" i="5"/>
  <c r="C34" i="11"/>
  <c r="AA34" i="11" s="1"/>
  <c r="U42" i="10"/>
  <c r="D45" i="19"/>
  <c r="N45" i="19" s="1"/>
  <c r="O45" i="19" s="1"/>
  <c r="T10" i="23"/>
  <c r="X48" i="17"/>
  <c r="Y48" i="17" s="1"/>
  <c r="C52" i="13"/>
  <c r="Z52" i="13" s="1"/>
  <c r="Q40" i="23"/>
  <c r="Z50" i="16"/>
  <c r="AB37" i="10"/>
  <c r="N14" i="12"/>
  <c r="O14" i="12" s="1"/>
  <c r="T19" i="23"/>
  <c r="D56" i="18"/>
  <c r="AB56" i="18" s="1"/>
  <c r="D51" i="9"/>
  <c r="S51" i="9" s="1"/>
  <c r="T51" i="9" s="1"/>
  <c r="D51" i="19"/>
  <c r="AB51" i="19" s="1"/>
  <c r="T32" i="23"/>
  <c r="X14" i="12"/>
  <c r="D21" i="15"/>
  <c r="S21" i="15" s="1"/>
  <c r="T21" i="15" s="1"/>
  <c r="C45" i="15"/>
  <c r="Z45" i="15" s="1"/>
  <c r="C56" i="13"/>
  <c r="AA56" i="13" s="1"/>
  <c r="Z33" i="5"/>
  <c r="AC36" i="5"/>
  <c r="D42" i="9"/>
  <c r="X42" i="9" s="1"/>
  <c r="Y42" i="9" s="1"/>
  <c r="C52" i="15"/>
  <c r="AA52" i="15" s="1"/>
  <c r="C42" i="15"/>
  <c r="Z42" i="15" s="1"/>
  <c r="AB21" i="10"/>
  <c r="V50" i="12"/>
  <c r="S50" i="16"/>
  <c r="T50" i="16" s="1"/>
  <c r="X50" i="16"/>
  <c r="Y50" i="16" s="1"/>
  <c r="AC59" i="12"/>
  <c r="U48" i="10"/>
  <c r="AA28" i="8"/>
  <c r="N50" i="16"/>
  <c r="O50" i="16" s="1"/>
  <c r="R51" i="32"/>
  <c r="T51" i="32" s="1"/>
  <c r="U43" i="10"/>
  <c r="Z43" i="10"/>
  <c r="Z48" i="10"/>
  <c r="W54" i="24"/>
  <c r="V32" i="24"/>
  <c r="W14" i="24"/>
  <c r="U35" i="8"/>
  <c r="AA35" i="8"/>
  <c r="D15" i="14"/>
  <c r="S15" i="14" s="1"/>
  <c r="T15" i="14" s="1"/>
  <c r="C49" i="15"/>
  <c r="Z49" i="15" s="1"/>
  <c r="W40" i="12"/>
  <c r="Q20" i="23"/>
  <c r="Z10" i="5"/>
  <c r="D46" i="9"/>
  <c r="X46" i="9" s="1"/>
  <c r="Y46" i="9" s="1"/>
  <c r="T33" i="23"/>
  <c r="C41" i="16"/>
  <c r="AA41" i="16" s="1"/>
  <c r="V37" i="24"/>
  <c r="S54" i="24"/>
  <c r="T54" i="24" s="1"/>
  <c r="W56" i="12"/>
  <c r="AQ23" i="5"/>
  <c r="AR23" i="5" s="1"/>
  <c r="D53" i="13"/>
  <c r="N53" i="13" s="1"/>
  <c r="O53" i="13" s="1"/>
  <c r="AO23" i="5"/>
  <c r="AP23" i="5" s="1"/>
  <c r="D32" i="9"/>
  <c r="S32" i="9" s="1"/>
  <c r="T32" i="9" s="1"/>
  <c r="D43" i="11"/>
  <c r="AB43" i="11" s="1"/>
  <c r="C15" i="16"/>
  <c r="AA15" i="16" s="1"/>
  <c r="U17" i="10"/>
  <c r="U48" i="8"/>
  <c r="C47" i="13"/>
  <c r="AA47" i="13" s="1"/>
  <c r="C35" i="11"/>
  <c r="AA35" i="11" s="1"/>
  <c r="AC11" i="5"/>
  <c r="C46" i="11"/>
  <c r="AA46" i="11" s="1"/>
  <c r="D16" i="14"/>
  <c r="S16" i="14" s="1"/>
  <c r="T16" i="14" s="1"/>
  <c r="D16" i="15"/>
  <c r="S16" i="15" s="1"/>
  <c r="T16" i="15" s="1"/>
  <c r="Q15" i="23"/>
  <c r="Z34" i="5"/>
  <c r="T28" i="23"/>
  <c r="Q37" i="23"/>
  <c r="AS23" i="5"/>
  <c r="C27" i="16"/>
  <c r="AA27" i="16" s="1"/>
  <c r="D40" i="15"/>
  <c r="N40" i="15" s="1"/>
  <c r="O40" i="15" s="1"/>
  <c r="AA13" i="9"/>
  <c r="S14" i="24"/>
  <c r="T14" i="24" s="1"/>
  <c r="Z48" i="8"/>
  <c r="T20" i="23"/>
  <c r="U53" i="24"/>
  <c r="S52" i="16"/>
  <c r="T52" i="16" s="1"/>
  <c r="U63" i="8"/>
  <c r="G13" i="2" s="1"/>
  <c r="N28" i="12"/>
  <c r="O28" i="12" s="1"/>
  <c r="V42" i="12"/>
  <c r="Z22" i="10"/>
  <c r="V19" i="12"/>
  <c r="S28" i="12"/>
  <c r="T28" i="12" s="1"/>
  <c r="AA21" i="8"/>
  <c r="U21" i="8"/>
  <c r="U54" i="10"/>
  <c r="S54" i="10" s="1"/>
  <c r="T54" i="10" s="1"/>
  <c r="Z54" i="10"/>
  <c r="S52" i="17"/>
  <c r="T52" i="17" s="1"/>
  <c r="AA15" i="10"/>
  <c r="AA24" i="16"/>
  <c r="N52" i="16"/>
  <c r="O52" i="16" s="1"/>
  <c r="C44" i="15"/>
  <c r="AA44" i="15" s="1"/>
  <c r="D45" i="11"/>
  <c r="N45" i="11" s="1"/>
  <c r="O45" i="11" s="1"/>
  <c r="S37" i="17"/>
  <c r="T37" i="17" s="1"/>
  <c r="S44" i="14"/>
  <c r="T44" i="14" s="1"/>
  <c r="T41" i="5"/>
  <c r="R45" i="5"/>
  <c r="D24" i="14"/>
  <c r="S24" i="14" s="1"/>
  <c r="T24" i="14" s="1"/>
  <c r="AC12" i="5"/>
  <c r="X31" i="12"/>
  <c r="X44" i="14"/>
  <c r="Y44" i="14" s="1"/>
  <c r="Q67" i="30"/>
  <c r="T21" i="23"/>
  <c r="D52" i="18"/>
  <c r="N52" i="18" s="1"/>
  <c r="O52" i="18" s="1"/>
  <c r="U16" i="10"/>
  <c r="AB52" i="17"/>
  <c r="D45" i="15"/>
  <c r="N45" i="15" s="1"/>
  <c r="O45" i="15" s="1"/>
  <c r="U22" i="10"/>
  <c r="D19" i="17"/>
  <c r="N19" i="17" s="1"/>
  <c r="O19" i="17" s="1"/>
  <c r="C23" i="16"/>
  <c r="Z23" i="16" s="1"/>
  <c r="D39" i="14"/>
  <c r="N39" i="14" s="1"/>
  <c r="O39" i="14" s="1"/>
  <c r="AC39" i="5"/>
  <c r="M9" i="5"/>
  <c r="Z25" i="14"/>
  <c r="S31" i="12"/>
  <c r="T31" i="12" s="1"/>
  <c r="S14" i="13"/>
  <c r="T14" i="13" s="1"/>
  <c r="D30" i="8"/>
  <c r="N30" i="8" s="1"/>
  <c r="O30" i="8" s="1"/>
  <c r="X24" i="12"/>
  <c r="D37" i="16"/>
  <c r="N37" i="16" s="1"/>
  <c r="O37" i="16" s="1"/>
  <c r="T43" i="23"/>
  <c r="Q42" i="23"/>
  <c r="X37" i="17"/>
  <c r="Y37" i="17" s="1"/>
  <c r="AI33" i="5"/>
  <c r="AQ46" i="5"/>
  <c r="AR46" i="5" s="1"/>
  <c r="X41" i="17"/>
  <c r="Y41" i="17" s="1"/>
  <c r="AB37" i="17"/>
  <c r="D19" i="11"/>
  <c r="X19" i="11" s="1"/>
  <c r="Y19" i="11" s="1"/>
  <c r="S24" i="12"/>
  <c r="T24" i="12" s="1"/>
  <c r="C19" i="15"/>
  <c r="Z19" i="15" s="1"/>
  <c r="C40" i="15"/>
  <c r="AA40" i="15" s="1"/>
  <c r="D29" i="15"/>
  <c r="N29" i="15" s="1"/>
  <c r="O29" i="15" s="1"/>
  <c r="G22" i="5"/>
  <c r="G38" i="5"/>
  <c r="D24" i="15"/>
  <c r="X24" i="15" s="1"/>
  <c r="Y24" i="15" s="1"/>
  <c r="C39" i="16"/>
  <c r="Z39" i="16" s="1"/>
  <c r="D43" i="15"/>
  <c r="AB43" i="15" s="1"/>
  <c r="C13" i="13"/>
  <c r="AA13" i="13" s="1"/>
  <c r="W23" i="12"/>
  <c r="S23" i="12"/>
  <c r="T23" i="12" s="1"/>
  <c r="X14" i="13"/>
  <c r="Y14" i="13" s="1"/>
  <c r="Z50" i="5"/>
  <c r="Z16" i="10"/>
  <c r="W35" i="12"/>
  <c r="T23" i="5"/>
  <c r="M48" i="5"/>
  <c r="AO46" i="5"/>
  <c r="AP46" i="5" s="1"/>
  <c r="AB44" i="14"/>
  <c r="C26" i="17"/>
  <c r="AA26" i="17" s="1"/>
  <c r="AS46" i="5"/>
  <c r="D19" i="16"/>
  <c r="AB19" i="16" s="1"/>
  <c r="X23" i="12"/>
  <c r="N52" i="17"/>
  <c r="O52" i="17" s="1"/>
  <c r="D37" i="13"/>
  <c r="S37" i="13" s="1"/>
  <c r="T37" i="13" s="1"/>
  <c r="D45" i="13"/>
  <c r="AB45" i="13" s="1"/>
  <c r="C33" i="11"/>
  <c r="AA33" i="11" s="1"/>
  <c r="C45" i="17"/>
  <c r="Z45" i="17" s="1"/>
  <c r="AC20" i="5"/>
  <c r="AI50" i="5"/>
  <c r="G24" i="5"/>
  <c r="AB14" i="13"/>
  <c r="AA44" i="16"/>
  <c r="R49" i="5"/>
  <c r="AB31" i="17"/>
  <c r="AB21" i="17"/>
  <c r="W16" i="24"/>
  <c r="S34" i="24"/>
  <c r="T34" i="24" s="1"/>
  <c r="U25" i="8"/>
  <c r="X25" i="8" s="1"/>
  <c r="Y25" i="8" s="1"/>
  <c r="X15" i="16"/>
  <c r="Y15" i="16" s="1"/>
  <c r="AA25" i="8"/>
  <c r="X52" i="16"/>
  <c r="Y52" i="16" s="1"/>
  <c r="Z45" i="14"/>
  <c r="AB25" i="17"/>
  <c r="AB51" i="15"/>
  <c r="S15" i="17"/>
  <c r="T15" i="17" s="1"/>
  <c r="U28" i="10"/>
  <c r="S52" i="24"/>
  <c r="T52" i="24" s="1"/>
  <c r="W52" i="24"/>
  <c r="U25" i="10"/>
  <c r="AA39" i="14"/>
  <c r="U31" i="8"/>
  <c r="AB39" i="18"/>
  <c r="S47" i="19"/>
  <c r="T47" i="19" s="1"/>
  <c r="S28" i="24"/>
  <c r="T28" i="24" s="1"/>
  <c r="S16" i="24"/>
  <c r="T16" i="24" s="1"/>
  <c r="X47" i="19"/>
  <c r="Y47" i="19" s="1"/>
  <c r="W28" i="24"/>
  <c r="S20" i="24"/>
  <c r="T20" i="24" s="1"/>
  <c r="Z31" i="13"/>
  <c r="AA28" i="14"/>
  <c r="X35" i="15"/>
  <c r="Y35" i="15" s="1"/>
  <c r="W20" i="24"/>
  <c r="U39" i="8"/>
  <c r="X39" i="8" s="1"/>
  <c r="Y39" i="8" s="1"/>
  <c r="V14" i="24"/>
  <c r="S49" i="12"/>
  <c r="T49" i="12" s="1"/>
  <c r="V24" i="24"/>
  <c r="X25" i="17"/>
  <c r="Y25" i="17" s="1"/>
  <c r="S15" i="16"/>
  <c r="T15" i="16" s="1"/>
  <c r="S46" i="14"/>
  <c r="T46" i="14" s="1"/>
  <c r="S42" i="19"/>
  <c r="T42" i="19" s="1"/>
  <c r="W34" i="24"/>
  <c r="AB47" i="19"/>
  <c r="X49" i="12"/>
  <c r="X39" i="17"/>
  <c r="Y39" i="17" s="1"/>
  <c r="AQ8" i="5"/>
  <c r="AR8" i="5" s="1"/>
  <c r="AT8" i="5"/>
  <c r="AO39" i="5"/>
  <c r="AP39" i="5" s="1"/>
  <c r="AT39" i="5"/>
  <c r="AS39" i="5"/>
  <c r="Q27" i="23"/>
  <c r="D20" i="9"/>
  <c r="S20" i="9" s="1"/>
  <c r="T20" i="9" s="1"/>
  <c r="C37" i="11"/>
  <c r="AA37" i="11" s="1"/>
  <c r="V15" i="12"/>
  <c r="AA31" i="10"/>
  <c r="G50" i="5"/>
  <c r="G40" i="5"/>
  <c r="AQ15" i="5"/>
  <c r="AR15" i="5" s="1"/>
  <c r="AB40" i="8"/>
  <c r="X46" i="14"/>
  <c r="Y46" i="14" s="1"/>
  <c r="W49" i="24"/>
  <c r="V33" i="24"/>
  <c r="Z40" i="10"/>
  <c r="W31" i="12"/>
  <c r="V28" i="12"/>
  <c r="Z17" i="14"/>
  <c r="D54" i="16"/>
  <c r="X54" i="16" s="1"/>
  <c r="Y54" i="16" s="1"/>
  <c r="C29" i="11"/>
  <c r="Z29" i="11" s="1"/>
  <c r="AI17" i="5"/>
  <c r="AO31" i="5"/>
  <c r="AP31" i="5" s="1"/>
  <c r="AT31" i="5"/>
  <c r="T13" i="23"/>
  <c r="X21" i="17"/>
  <c r="Y21" i="17" s="1"/>
  <c r="D28" i="10"/>
  <c r="Z24" i="5"/>
  <c r="C43" i="11"/>
  <c r="Z43" i="11" s="1"/>
  <c r="V46" i="24"/>
  <c r="U40" i="10"/>
  <c r="AQ50" i="5"/>
  <c r="AR50" i="5" s="1"/>
  <c r="C23" i="11"/>
  <c r="AA23" i="11" s="1"/>
  <c r="C37" i="15"/>
  <c r="Z37" i="15" s="1"/>
  <c r="AB46" i="14"/>
  <c r="D37" i="8"/>
  <c r="N37" i="8" s="1"/>
  <c r="O37" i="8" s="1"/>
  <c r="U31" i="10"/>
  <c r="X39" i="5"/>
  <c r="D21" i="14"/>
  <c r="AB21" i="14" s="1"/>
  <c r="D35" i="14"/>
  <c r="N35" i="14" s="1"/>
  <c r="O35" i="14" s="1"/>
  <c r="V15" i="24"/>
  <c r="S39" i="18"/>
  <c r="T39" i="18" s="1"/>
  <c r="S34" i="19"/>
  <c r="T34" i="19" s="1"/>
  <c r="V41" i="24"/>
  <c r="AA36" i="14"/>
  <c r="Z40" i="16"/>
  <c r="U17" i="8"/>
  <c r="X17" i="8" s="1"/>
  <c r="Y17" i="8" s="1"/>
  <c r="V32" i="12"/>
  <c r="D21" i="16"/>
  <c r="AB21" i="16" s="1"/>
  <c r="T38" i="23"/>
  <c r="D44" i="10"/>
  <c r="Z40" i="5"/>
  <c r="D32" i="14"/>
  <c r="S32" i="14" s="1"/>
  <c r="T32" i="14" s="1"/>
  <c r="D19" i="14"/>
  <c r="X19" i="14" s="1"/>
  <c r="Y19" i="14" s="1"/>
  <c r="AC15" i="5"/>
  <c r="Z17" i="10"/>
  <c r="AO15" i="5"/>
  <c r="AP15" i="5" s="1"/>
  <c r="AT15" i="5"/>
  <c r="T35" i="5"/>
  <c r="C21" i="11"/>
  <c r="Z21" i="11" s="1"/>
  <c r="D45" i="9"/>
  <c r="N45" i="9" s="1"/>
  <c r="O45" i="9" s="1"/>
  <c r="T37" i="23"/>
  <c r="D43" i="13"/>
  <c r="S43" i="13" s="1"/>
  <c r="T43" i="13" s="1"/>
  <c r="AC17" i="5"/>
  <c r="D29" i="14"/>
  <c r="S29" i="14" s="1"/>
  <c r="T29" i="14" s="1"/>
  <c r="AC31" i="5"/>
  <c r="Q11" i="23"/>
  <c r="AB34" i="19"/>
  <c r="X34" i="19"/>
  <c r="Y34" i="19" s="1"/>
  <c r="AA31" i="8"/>
  <c r="U15" i="10"/>
  <c r="Z28" i="10"/>
  <c r="S35" i="15"/>
  <c r="T35" i="15" s="1"/>
  <c r="C43" i="16"/>
  <c r="Z43" i="16" s="1"/>
  <c r="C54" i="13"/>
  <c r="Z54" i="13" s="1"/>
  <c r="D15" i="18"/>
  <c r="C15" i="13"/>
  <c r="M11" i="5"/>
  <c r="D27" i="18"/>
  <c r="M23" i="5"/>
  <c r="D27" i="11"/>
  <c r="X27" i="11" s="1"/>
  <c r="Y27" i="11" s="1"/>
  <c r="C43" i="15"/>
  <c r="Z43" i="15" s="1"/>
  <c r="S49" i="24"/>
  <c r="T49" i="24" s="1"/>
  <c r="AO50" i="5"/>
  <c r="AP50" i="5" s="1"/>
  <c r="AT50" i="5"/>
  <c r="X39" i="18"/>
  <c r="Y39" i="18" s="1"/>
  <c r="AA25" i="10"/>
  <c r="C5" i="33"/>
  <c r="C13" i="11"/>
  <c r="C13" i="15"/>
  <c r="R9" i="5"/>
  <c r="AA42" i="14"/>
  <c r="Z51" i="5"/>
  <c r="U28" i="8"/>
  <c r="D40" i="14"/>
  <c r="X40" i="14" s="1"/>
  <c r="Y40" i="14" s="1"/>
  <c r="C49" i="11"/>
  <c r="Z49" i="11" s="1"/>
  <c r="C35" i="16"/>
  <c r="AA35" i="16" s="1"/>
  <c r="AB42" i="19"/>
  <c r="X42" i="19"/>
  <c r="Y42" i="19" s="1"/>
  <c r="AA17" i="8"/>
  <c r="T16" i="23"/>
  <c r="D47" i="18"/>
  <c r="N47" i="18" s="1"/>
  <c r="O47" i="18" s="1"/>
  <c r="AS48" i="5"/>
  <c r="S21" i="17"/>
  <c r="T21" i="17" s="1"/>
  <c r="T24" i="23"/>
  <c r="N41" i="17"/>
  <c r="O41" i="17" s="1"/>
  <c r="AB41" i="17"/>
  <c r="AA39" i="10"/>
  <c r="N19" i="12"/>
  <c r="O19" i="12" s="1"/>
  <c r="N25" i="16"/>
  <c r="O25" i="16" s="1"/>
  <c r="U39" i="10"/>
  <c r="W55" i="12"/>
  <c r="S43" i="24"/>
  <c r="T43" i="24" s="1"/>
  <c r="AA52" i="14"/>
  <c r="U30" i="10"/>
  <c r="Z33" i="14"/>
  <c r="Z23" i="10"/>
  <c r="Z34" i="14"/>
  <c r="AB23" i="16"/>
  <c r="S25" i="16"/>
  <c r="T25" i="16" s="1"/>
  <c r="AB14" i="10"/>
  <c r="V21" i="12"/>
  <c r="S26" i="9"/>
  <c r="T26" i="9" s="1"/>
  <c r="W43" i="24"/>
  <c r="Z30" i="10"/>
  <c r="X34" i="12"/>
  <c r="S35" i="12"/>
  <c r="T35" i="12" s="1"/>
  <c r="S53" i="17"/>
  <c r="T53" i="17" s="1"/>
  <c r="X23" i="16"/>
  <c r="Y23" i="16" s="1"/>
  <c r="S19" i="12"/>
  <c r="T19" i="12" s="1"/>
  <c r="AA16" i="16"/>
  <c r="V36" i="24"/>
  <c r="X53" i="17"/>
  <c r="Y53" i="17" s="1"/>
  <c r="V53" i="12"/>
  <c r="V23" i="24"/>
  <c r="W46" i="24"/>
  <c r="W35" i="24"/>
  <c r="S33" i="24"/>
  <c r="T33" i="24" s="1"/>
  <c r="S35" i="24"/>
  <c r="T35" i="24" s="1"/>
  <c r="W54" i="12"/>
  <c r="S51" i="15"/>
  <c r="T51" i="15" s="1"/>
  <c r="AA49" i="14"/>
  <c r="N35" i="12"/>
  <c r="O35" i="12" s="1"/>
  <c r="AA22" i="14"/>
  <c r="N53" i="17"/>
  <c r="O53" i="17" s="1"/>
  <c r="AA44" i="10"/>
  <c r="Z46" i="14"/>
  <c r="AA39" i="13"/>
  <c r="AA33" i="8"/>
  <c r="W33" i="24"/>
  <c r="V54" i="24"/>
  <c r="U25" i="24"/>
  <c r="U44" i="10"/>
  <c r="S33" i="12"/>
  <c r="T33" i="12" s="1"/>
  <c r="AA40" i="14"/>
  <c r="N43" i="17"/>
  <c r="O43" i="17" s="1"/>
  <c r="AB39" i="17"/>
  <c r="S39" i="17"/>
  <c r="T39" i="17" s="1"/>
  <c r="AA27" i="13"/>
  <c r="AA39" i="8"/>
  <c r="W38" i="24"/>
  <c r="V43" i="24"/>
  <c r="U23" i="10"/>
  <c r="AA31" i="14"/>
  <c r="N15" i="15"/>
  <c r="O15" i="15" s="1"/>
  <c r="N51" i="11"/>
  <c r="O51" i="11" s="1"/>
  <c r="S51" i="11"/>
  <c r="T51" i="11" s="1"/>
  <c r="C8" i="33"/>
  <c r="R12" i="5"/>
  <c r="C19" i="33"/>
  <c r="R23" i="5"/>
  <c r="D19" i="10"/>
  <c r="Z15" i="5"/>
  <c r="AS10" i="5"/>
  <c r="AO10" i="5"/>
  <c r="AP10" i="5" s="1"/>
  <c r="C23" i="33"/>
  <c r="R27" i="5"/>
  <c r="D28" i="9"/>
  <c r="N28" i="9" s="1"/>
  <c r="O28" i="9" s="1"/>
  <c r="Z15" i="14"/>
  <c r="D27" i="14"/>
  <c r="S27" i="14" s="1"/>
  <c r="T27" i="14" s="1"/>
  <c r="AQ31" i="5"/>
  <c r="AR31" i="5" s="1"/>
  <c r="AA54" i="8"/>
  <c r="AA21" i="10"/>
  <c r="V30" i="12"/>
  <c r="C53" i="11"/>
  <c r="Z53" i="11" s="1"/>
  <c r="AQ10" i="5"/>
  <c r="AR10" i="5" s="1"/>
  <c r="D17" i="19"/>
  <c r="D19" i="18"/>
  <c r="C19" i="13"/>
  <c r="M15" i="5"/>
  <c r="C42" i="33"/>
  <c r="C50" i="15"/>
  <c r="R46" i="5"/>
  <c r="D35" i="10"/>
  <c r="X35" i="10" s="1"/>
  <c r="Y35" i="10" s="1"/>
  <c r="Z31" i="5"/>
  <c r="C44" i="33"/>
  <c r="R48" i="5"/>
  <c r="D35" i="11"/>
  <c r="N35" i="11" s="1"/>
  <c r="O35" i="11" s="1"/>
  <c r="D49" i="9"/>
  <c r="AB49" i="9" s="1"/>
  <c r="D19" i="13"/>
  <c r="N19" i="13" s="1"/>
  <c r="O19" i="13" s="1"/>
  <c r="AC23" i="5"/>
  <c r="AC35" i="5"/>
  <c r="Q35" i="23"/>
  <c r="AS31" i="5"/>
  <c r="U21" i="10"/>
  <c r="X21" i="10" s="1"/>
  <c r="Y21" i="10" s="1"/>
  <c r="AA37" i="14"/>
  <c r="AA32" i="14"/>
  <c r="C38" i="15"/>
  <c r="Z38" i="15" s="1"/>
  <c r="AB43" i="17"/>
  <c r="AB23" i="17"/>
  <c r="U54" i="8"/>
  <c r="C32" i="33"/>
  <c r="R36" i="5"/>
  <c r="C40" i="11"/>
  <c r="D14" i="9"/>
  <c r="C9" i="33"/>
  <c r="C17" i="11"/>
  <c r="R13" i="5"/>
  <c r="C17" i="15"/>
  <c r="D33" i="10"/>
  <c r="Z29" i="5"/>
  <c r="C27" i="33"/>
  <c r="R31" i="5"/>
  <c r="D31" i="10"/>
  <c r="Z27" i="5"/>
  <c r="R37" i="5"/>
  <c r="C33" i="33"/>
  <c r="Q21" i="23"/>
  <c r="R18" i="5"/>
  <c r="Z21" i="14"/>
  <c r="D41" i="10"/>
  <c r="Z37" i="5"/>
  <c r="D47" i="17"/>
  <c r="AI43" i="5"/>
  <c r="C27" i="11"/>
  <c r="AA27" i="11" s="1"/>
  <c r="C53" i="17"/>
  <c r="Z53" i="17" s="1"/>
  <c r="C53" i="15"/>
  <c r="Z53" i="15" s="1"/>
  <c r="W24" i="24"/>
  <c r="X51" i="12"/>
  <c r="C38" i="11"/>
  <c r="AA38" i="11" s="1"/>
  <c r="C17" i="33"/>
  <c r="R21" i="5"/>
  <c r="C35" i="33"/>
  <c r="R39" i="5"/>
  <c r="D23" i="10"/>
  <c r="Z19" i="5"/>
  <c r="D13" i="9"/>
  <c r="X13" i="9" s="1"/>
  <c r="C27" i="15"/>
  <c r="Z27" i="15" s="1"/>
  <c r="C50" i="11"/>
  <c r="AA50" i="11" s="1"/>
  <c r="C41" i="11"/>
  <c r="AA41" i="11" s="1"/>
  <c r="D22" i="13"/>
  <c r="S22" i="13" s="1"/>
  <c r="T22" i="13" s="1"/>
  <c r="D53" i="11"/>
  <c r="X53" i="11" s="1"/>
  <c r="Y53" i="11" s="1"/>
  <c r="D50" i="9"/>
  <c r="N50" i="9" s="1"/>
  <c r="O50" i="9" s="1"/>
  <c r="D41" i="15"/>
  <c r="S41" i="15" s="1"/>
  <c r="T41" i="15" s="1"/>
  <c r="W39" i="12"/>
  <c r="C19" i="16"/>
  <c r="AA19" i="16" s="1"/>
  <c r="T45" i="5"/>
  <c r="Z19" i="14"/>
  <c r="S43" i="12"/>
  <c r="T43" i="12" s="1"/>
  <c r="S50" i="18"/>
  <c r="T50" i="18" s="1"/>
  <c r="S16" i="12"/>
  <c r="T16" i="12" s="1"/>
  <c r="X43" i="12"/>
  <c r="X16" i="12"/>
  <c r="T18" i="5"/>
  <c r="D35" i="9"/>
  <c r="N35" i="9" s="1"/>
  <c r="O35" i="9" s="1"/>
  <c r="C51" i="17"/>
  <c r="AA51" i="17" s="1"/>
  <c r="AA41" i="10"/>
  <c r="C19" i="17"/>
  <c r="AA19" i="17" s="1"/>
  <c r="C21" i="33"/>
  <c r="C29" i="15"/>
  <c r="R25" i="5"/>
  <c r="R30" i="5"/>
  <c r="C26" i="33"/>
  <c r="AQ48" i="5"/>
  <c r="AR48" i="5" s="1"/>
  <c r="AO48" i="5"/>
  <c r="AP48" i="5" s="1"/>
  <c r="D27" i="9"/>
  <c r="C22" i="33"/>
  <c r="R26" i="5"/>
  <c r="C30" i="15"/>
  <c r="AA41" i="14"/>
  <c r="D23" i="9"/>
  <c r="C18" i="33"/>
  <c r="R22" i="5"/>
  <c r="C26" i="15"/>
  <c r="S26" i="15" s="1"/>
  <c r="T26" i="15" s="1"/>
  <c r="C26" i="11"/>
  <c r="C16" i="11"/>
  <c r="Z16" i="11" s="1"/>
  <c r="C45" i="11"/>
  <c r="Z45" i="11" s="1"/>
  <c r="X47" i="5"/>
  <c r="D49" i="10"/>
  <c r="Z45" i="5"/>
  <c r="C15" i="33"/>
  <c r="R19" i="5"/>
  <c r="C31" i="33"/>
  <c r="R35" i="5"/>
  <c r="D24" i="9"/>
  <c r="N24" i="9" s="1"/>
  <c r="O24" i="9" s="1"/>
  <c r="C39" i="15"/>
  <c r="AA39" i="15" s="1"/>
  <c r="D47" i="9"/>
  <c r="AB47" i="9" s="1"/>
  <c r="C25" i="11"/>
  <c r="AA25" i="11" s="1"/>
  <c r="D38" i="9"/>
  <c r="N38" i="9" s="1"/>
  <c r="O38" i="9" s="1"/>
  <c r="R44" i="5"/>
  <c r="C22" i="15"/>
  <c r="AA22" i="15" s="1"/>
  <c r="C22" i="11"/>
  <c r="Z22" i="11" s="1"/>
  <c r="C48" i="11"/>
  <c r="Z48" i="11" s="1"/>
  <c r="D23" i="14"/>
  <c r="AB23" i="14" s="1"/>
  <c r="D32" i="15"/>
  <c r="S32" i="15" s="1"/>
  <c r="T32" i="15" s="1"/>
  <c r="D41" i="14"/>
  <c r="AB41" i="14" s="1"/>
  <c r="AB43" i="16"/>
  <c r="Z33" i="10"/>
  <c r="S27" i="24"/>
  <c r="T27" i="24" s="1"/>
  <c r="V52" i="24"/>
  <c r="V38" i="24"/>
  <c r="U33" i="10"/>
  <c r="S51" i="12"/>
  <c r="T51" i="12" s="1"/>
  <c r="AA14" i="8"/>
  <c r="D10" i="2"/>
  <c r="C27" i="17"/>
  <c r="AA27" i="17" s="1"/>
  <c r="D51" i="13"/>
  <c r="N51" i="13" s="1"/>
  <c r="O51" i="13" s="1"/>
  <c r="X31" i="17"/>
  <c r="Y31" i="17" s="1"/>
  <c r="S31" i="17"/>
  <c r="T31" i="17" s="1"/>
  <c r="C29" i="33"/>
  <c r="R33" i="5"/>
  <c r="C11" i="33"/>
  <c r="R15" i="5"/>
  <c r="C21" i="13"/>
  <c r="M17" i="5"/>
  <c r="R17" i="5"/>
  <c r="C13" i="33"/>
  <c r="D48" i="15"/>
  <c r="C48" i="16"/>
  <c r="AC44" i="5"/>
  <c r="D48" i="14"/>
  <c r="R34" i="5"/>
  <c r="D47" i="16"/>
  <c r="AB47" i="16" s="1"/>
  <c r="C31" i="11"/>
  <c r="Z31" i="11" s="1"/>
  <c r="D36" i="9"/>
  <c r="N36" i="9" s="1"/>
  <c r="O36" i="9" s="1"/>
  <c r="C54" i="11"/>
  <c r="Z54" i="11" s="1"/>
  <c r="C25" i="15"/>
  <c r="Z25" i="15" s="1"/>
  <c r="D19" i="9"/>
  <c r="N19" i="9" s="1"/>
  <c r="O19" i="9" s="1"/>
  <c r="C48" i="15"/>
  <c r="Z48" i="15" s="1"/>
  <c r="T44" i="23"/>
  <c r="AC19" i="5"/>
  <c r="AC28" i="5"/>
  <c r="S43" i="16"/>
  <c r="T43" i="16" s="1"/>
  <c r="S34" i="12"/>
  <c r="T34" i="12" s="1"/>
  <c r="AA32" i="16"/>
  <c r="S27" i="15"/>
  <c r="T27" i="15" s="1"/>
  <c r="U47" i="10"/>
  <c r="X39" i="15"/>
  <c r="Y39" i="15" s="1"/>
  <c r="S24" i="24"/>
  <c r="T24" i="24" s="1"/>
  <c r="X43" i="16"/>
  <c r="Y43" i="16" s="1"/>
  <c r="D54" i="18"/>
  <c r="M50" i="5"/>
  <c r="R38" i="5"/>
  <c r="C34" i="33"/>
  <c r="W52" i="12"/>
  <c r="V52" i="12"/>
  <c r="C38" i="33"/>
  <c r="R42" i="5"/>
  <c r="C46" i="15"/>
  <c r="AA22" i="3"/>
  <c r="X22" i="3"/>
  <c r="Z22" i="3" s="1"/>
  <c r="X21" i="3"/>
  <c r="Z21" i="3" s="1"/>
  <c r="K2" i="3"/>
  <c r="K3" i="3" s="1"/>
  <c r="G45" i="3"/>
  <c r="J86" i="2"/>
  <c r="G97" i="2"/>
  <c r="J97" i="2" s="1"/>
  <c r="AB15" i="16"/>
  <c r="S53" i="16"/>
  <c r="T53" i="16" s="1"/>
  <c r="AB53" i="16"/>
  <c r="X53" i="16"/>
  <c r="Y53" i="16" s="1"/>
  <c r="X25" i="16"/>
  <c r="Y25" i="16" s="1"/>
  <c r="S23" i="15"/>
  <c r="T23" i="15" s="1"/>
  <c r="AB39" i="15"/>
  <c r="AB27" i="15"/>
  <c r="S39" i="15"/>
  <c r="T39" i="15" s="1"/>
  <c r="X51" i="15"/>
  <c r="Y51" i="15" s="1"/>
  <c r="AB35" i="15"/>
  <c r="X27" i="15"/>
  <c r="Y27" i="15" s="1"/>
  <c r="X15" i="15"/>
  <c r="Y15" i="15" s="1"/>
  <c r="S15" i="15"/>
  <c r="T15" i="15" s="1"/>
  <c r="AA53" i="14"/>
  <c r="AA47" i="14"/>
  <c r="Z38" i="14"/>
  <c r="AA14" i="14"/>
  <c r="Z23" i="14"/>
  <c r="AA51" i="14"/>
  <c r="Z30" i="14"/>
  <c r="Z26" i="14"/>
  <c r="AA24" i="14"/>
  <c r="AA20" i="14"/>
  <c r="N33" i="12"/>
  <c r="O33" i="12" s="1"/>
  <c r="X41" i="12"/>
  <c r="N41" i="12"/>
  <c r="O41" i="12" s="1"/>
  <c r="N44" i="12"/>
  <c r="O44" i="12" s="1"/>
  <c r="S13" i="12"/>
  <c r="T13" i="12" s="1"/>
  <c r="V14" i="12"/>
  <c r="I96" i="11"/>
  <c r="I93" i="11"/>
  <c r="I95" i="11" s="1"/>
  <c r="U19" i="10"/>
  <c r="U27" i="10"/>
  <c r="W23" i="24"/>
  <c r="S23" i="24"/>
  <c r="T23" i="24" s="1"/>
  <c r="S41" i="24"/>
  <c r="T41" i="24" s="1"/>
  <c r="S46" i="24"/>
  <c r="T46" i="24" s="1"/>
  <c r="V39" i="24"/>
  <c r="V51" i="24"/>
  <c r="W31" i="24"/>
  <c r="S38" i="24"/>
  <c r="T38" i="24" s="1"/>
  <c r="S51" i="24"/>
  <c r="T51" i="24" s="1"/>
  <c r="V35" i="24"/>
  <c r="S31" i="24"/>
  <c r="T31" i="24" s="1"/>
  <c r="W51" i="24"/>
  <c r="V47" i="24"/>
  <c r="W19" i="24"/>
  <c r="V21" i="24"/>
  <c r="V31" i="24"/>
  <c r="AB26" i="9"/>
  <c r="X26" i="9"/>
  <c r="Y26" i="9" s="1"/>
  <c r="U61" i="8"/>
  <c r="AB45" i="8"/>
  <c r="U41" i="8"/>
  <c r="U49" i="8"/>
  <c r="X49" i="8" s="1"/>
  <c r="Y49" i="8" s="1"/>
  <c r="AA57" i="8"/>
  <c r="AA37" i="8"/>
  <c r="U40" i="8"/>
  <c r="S40" i="8" s="1"/>
  <c r="T40" i="8" s="1"/>
  <c r="AA42" i="8"/>
  <c r="AA61" i="8"/>
  <c r="U33" i="8"/>
  <c r="Z53" i="8"/>
  <c r="U19" i="8"/>
  <c r="AA19" i="8"/>
  <c r="AB27" i="8"/>
  <c r="AA41" i="8"/>
  <c r="AA32" i="8"/>
  <c r="U57" i="8"/>
  <c r="U42" i="8"/>
  <c r="U20" i="8"/>
  <c r="Z47" i="8"/>
  <c r="AA24" i="8"/>
  <c r="U24" i="8"/>
  <c r="AB25" i="8"/>
  <c r="Z51" i="8"/>
  <c r="U47" i="8"/>
  <c r="U51" i="8"/>
  <c r="AA20" i="8"/>
  <c r="AA30" i="8"/>
  <c r="U30" i="8"/>
  <c r="Z40" i="8"/>
  <c r="X49" i="19"/>
  <c r="Y49" i="19" s="1"/>
  <c r="AB49" i="19"/>
  <c r="S45" i="19"/>
  <c r="T45" i="19" s="1"/>
  <c r="AB45" i="19"/>
  <c r="AB43" i="18"/>
  <c r="X45" i="19"/>
  <c r="Y45" i="19" s="1"/>
  <c r="N49" i="19"/>
  <c r="O49" i="19" s="1"/>
  <c r="U60" i="24"/>
  <c r="X19" i="15"/>
  <c r="Y19" i="15" s="1"/>
  <c r="AB23" i="15"/>
  <c r="S19" i="24"/>
  <c r="T19" i="24" s="1"/>
  <c r="X31" i="18"/>
  <c r="Y31" i="18" s="1"/>
  <c r="S31" i="18"/>
  <c r="T31" i="18" s="1"/>
  <c r="AA19" i="10"/>
  <c r="Z27" i="10"/>
  <c r="AA47" i="10"/>
  <c r="W27" i="24"/>
  <c r="AA15" i="8"/>
  <c r="AA23" i="8"/>
  <c r="AB31" i="18"/>
  <c r="S43" i="17"/>
  <c r="T43" i="17" s="1"/>
  <c r="S23" i="17"/>
  <c r="T23" i="17" s="1"/>
  <c r="AB19" i="15"/>
  <c r="U15" i="8"/>
  <c r="U23" i="8"/>
  <c r="U37" i="8"/>
  <c r="U53" i="8"/>
  <c r="W41" i="24"/>
  <c r="X14" i="10"/>
  <c r="Y14" i="10" s="1"/>
  <c r="AA50" i="13"/>
  <c r="X13" i="12"/>
  <c r="S19" i="15"/>
  <c r="T19" i="15" s="1"/>
  <c r="X23" i="15"/>
  <c r="Y23" i="15" s="1"/>
  <c r="U38" i="8"/>
  <c r="U46" i="8"/>
  <c r="AA34" i="8"/>
  <c r="AA26" i="8"/>
  <c r="Z36" i="8"/>
  <c r="U49" i="24"/>
  <c r="X51" i="11"/>
  <c r="Y51" i="11" s="1"/>
  <c r="X23" i="17"/>
  <c r="Y23" i="17" s="1"/>
  <c r="U14" i="8"/>
  <c r="AA37" i="10"/>
  <c r="U37" i="10"/>
  <c r="U41" i="10"/>
  <c r="AC58" i="12"/>
  <c r="Z58" i="14"/>
  <c r="AA58" i="14"/>
  <c r="Z54" i="5"/>
  <c r="D58" i="10"/>
  <c r="D21" i="8"/>
  <c r="T17" i="5"/>
  <c r="U58" i="24"/>
  <c r="V58" i="24"/>
  <c r="Z58" i="10"/>
  <c r="U58" i="10"/>
  <c r="AA58" i="10"/>
  <c r="D31" i="8"/>
  <c r="T27" i="5"/>
  <c r="D23" i="8"/>
  <c r="T19" i="5"/>
  <c r="AA58" i="8"/>
  <c r="Z58" i="8"/>
  <c r="U58" i="8"/>
  <c r="Z57" i="10"/>
  <c r="AA57" i="10"/>
  <c r="U57" i="10"/>
  <c r="Z57" i="14"/>
  <c r="AA57" i="14"/>
  <c r="D19" i="8"/>
  <c r="T15" i="5"/>
  <c r="D35" i="8"/>
  <c r="T31" i="5"/>
  <c r="U57" i="24"/>
  <c r="V57" i="24"/>
  <c r="AA21" i="3"/>
  <c r="Z53" i="5"/>
  <c r="D57" i="10"/>
  <c r="AN62" i="5"/>
  <c r="C25" i="2" s="1"/>
  <c r="T54" i="5"/>
  <c r="D58" i="8"/>
  <c r="Z51" i="16"/>
  <c r="S44" i="12"/>
  <c r="T44" i="12" s="1"/>
  <c r="AC57" i="12"/>
  <c r="AA30" i="11"/>
  <c r="Z51" i="10"/>
  <c r="AA51" i="10"/>
  <c r="U49" i="10"/>
  <c r="Z49" i="10"/>
  <c r="Z49" i="8"/>
  <c r="U36" i="8"/>
  <c r="U22" i="8"/>
  <c r="S22" i="8" s="1"/>
  <c r="T22" i="8" s="1"/>
  <c r="U26" i="8"/>
  <c r="U32" i="8"/>
  <c r="Z38" i="8"/>
  <c r="AA46" i="8"/>
  <c r="AA22" i="8"/>
  <c r="U34" i="8"/>
  <c r="S23" i="16"/>
  <c r="T23" i="16" s="1"/>
  <c r="C41" i="15"/>
  <c r="Z41" i="15" s="1"/>
  <c r="C22" i="17"/>
  <c r="AA22" i="17" s="1"/>
  <c r="D22" i="11"/>
  <c r="S22" i="11" s="1"/>
  <c r="T22" i="11" s="1"/>
  <c r="D26" i="11"/>
  <c r="N26" i="11" s="1"/>
  <c r="O26" i="11" s="1"/>
  <c r="C37" i="17"/>
  <c r="Z37" i="17" s="1"/>
  <c r="D52" i="10"/>
  <c r="Z48" i="5"/>
  <c r="D46" i="10"/>
  <c r="S46" i="10" s="1"/>
  <c r="T46" i="10" s="1"/>
  <c r="Z42" i="5"/>
  <c r="D46" i="11"/>
  <c r="D46" i="13"/>
  <c r="C46" i="17"/>
  <c r="X42" i="5"/>
  <c r="D26" i="8"/>
  <c r="T22" i="5"/>
  <c r="D42" i="8"/>
  <c r="T38" i="5"/>
  <c r="C14" i="15"/>
  <c r="C14" i="11"/>
  <c r="R10" i="5"/>
  <c r="D51" i="10"/>
  <c r="X51" i="10" s="1"/>
  <c r="Y51" i="10" s="1"/>
  <c r="Z47" i="5"/>
  <c r="D53" i="10"/>
  <c r="S53" i="10" s="1"/>
  <c r="T53" i="10" s="1"/>
  <c r="Z49" i="5"/>
  <c r="D38" i="11"/>
  <c r="X34" i="5"/>
  <c r="D38" i="13"/>
  <c r="C38" i="17"/>
  <c r="D44" i="11"/>
  <c r="D44" i="13"/>
  <c r="C44" i="17"/>
  <c r="X40" i="5"/>
  <c r="D20" i="10"/>
  <c r="S20" i="10" s="1"/>
  <c r="T20" i="10" s="1"/>
  <c r="Z16" i="5"/>
  <c r="D24" i="10"/>
  <c r="X24" i="10" s="1"/>
  <c r="Y24" i="10" s="1"/>
  <c r="Z20" i="5"/>
  <c r="D46" i="8"/>
  <c r="T42" i="5"/>
  <c r="D53" i="8"/>
  <c r="T49" i="5"/>
  <c r="D14" i="8"/>
  <c r="T10" i="5"/>
  <c r="N15" i="17"/>
  <c r="O15" i="17" s="1"/>
  <c r="X15" i="17"/>
  <c r="Y15" i="17" s="1"/>
  <c r="AA54" i="9"/>
  <c r="Z54" i="9"/>
  <c r="S54" i="9"/>
  <c r="T54" i="9" s="1"/>
  <c r="C62" i="14"/>
  <c r="C56" i="14"/>
  <c r="C55" i="15"/>
  <c r="C55" i="11"/>
  <c r="C55" i="17"/>
  <c r="D55" i="11"/>
  <c r="D55" i="13"/>
  <c r="Z52" i="5"/>
  <c r="D56" i="10"/>
  <c r="AA54" i="17"/>
  <c r="Z54" i="17"/>
  <c r="T53" i="5"/>
  <c r="D57" i="8"/>
  <c r="I35" i="2"/>
  <c r="N55" i="24"/>
  <c r="O55" i="24" s="1"/>
  <c r="S55" i="24"/>
  <c r="T55" i="24" s="1"/>
  <c r="W55" i="24"/>
  <c r="V55" i="24"/>
  <c r="U55" i="24"/>
  <c r="Z56" i="8"/>
  <c r="U56" i="8"/>
  <c r="X56" i="8" s="1"/>
  <c r="Y56" i="8" s="1"/>
  <c r="AA56" i="8"/>
  <c r="AA56" i="10"/>
  <c r="U56" i="10"/>
  <c r="Z56" i="10"/>
  <c r="C60" i="14"/>
  <c r="Z60" i="14" s="1"/>
  <c r="C55" i="14"/>
  <c r="AA55" i="13"/>
  <c r="Z55" i="13"/>
  <c r="C56" i="15"/>
  <c r="C56" i="11"/>
  <c r="D53" i="9"/>
  <c r="AB55" i="10"/>
  <c r="N55" i="10"/>
  <c r="O55" i="10" s="1"/>
  <c r="AB56" i="8"/>
  <c r="N56" i="8"/>
  <c r="O56" i="8" s="1"/>
  <c r="S56" i="8"/>
  <c r="T56" i="8" s="1"/>
  <c r="C55" i="16"/>
  <c r="D55" i="14"/>
  <c r="D55" i="15"/>
  <c r="Z54" i="16"/>
  <c r="AA54" i="16"/>
  <c r="Z56" i="13"/>
  <c r="X55" i="12"/>
  <c r="S55" i="12"/>
  <c r="T55" i="12" s="1"/>
  <c r="N55" i="12"/>
  <c r="O55" i="12" s="1"/>
  <c r="S54" i="17"/>
  <c r="T54" i="17" s="1"/>
  <c r="N54" i="17"/>
  <c r="O54" i="17" s="1"/>
  <c r="AB54" i="17"/>
  <c r="X54" i="17"/>
  <c r="Y54" i="17" s="1"/>
  <c r="AA55" i="10"/>
  <c r="U55" i="10"/>
  <c r="X55" i="10" s="1"/>
  <c r="Y55" i="10" s="1"/>
  <c r="Z55" i="10"/>
  <c r="V56" i="24"/>
  <c r="U56" i="24"/>
  <c r="G83" i="3"/>
  <c r="G102" i="3" s="1"/>
  <c r="AC56" i="12"/>
  <c r="X49" i="16"/>
  <c r="Y49" i="16" s="1"/>
  <c r="AC55" i="12"/>
  <c r="Z25" i="13"/>
  <c r="AA17" i="13"/>
  <c r="X38" i="10"/>
  <c r="Y38" i="10" s="1"/>
  <c r="S28" i="19"/>
  <c r="T28" i="19" s="1"/>
  <c r="S20" i="19"/>
  <c r="T20" i="19" s="1"/>
  <c r="S36" i="19"/>
  <c r="T36" i="19" s="1"/>
  <c r="S38" i="19"/>
  <c r="T38" i="19" s="1"/>
  <c r="AB38" i="19"/>
  <c r="X43" i="18"/>
  <c r="Y43" i="18" s="1"/>
  <c r="S43" i="18"/>
  <c r="T43" i="18" s="1"/>
  <c r="D26" i="13"/>
  <c r="S26" i="13" s="1"/>
  <c r="T26" i="13" s="1"/>
  <c r="D37" i="11"/>
  <c r="S37" i="11" s="1"/>
  <c r="T37" i="11" s="1"/>
  <c r="AA37" i="13"/>
  <c r="AO52" i="5"/>
  <c r="AP52" i="5" s="1"/>
  <c r="AS52" i="5"/>
  <c r="AQ52" i="5"/>
  <c r="AR52" i="5" s="1"/>
  <c r="S17" i="18"/>
  <c r="T17" i="18" s="1"/>
  <c r="X38" i="19"/>
  <c r="Y38" i="19" s="1"/>
  <c r="Z41" i="13"/>
  <c r="S41" i="16"/>
  <c r="T41" i="16" s="1"/>
  <c r="X51" i="14"/>
  <c r="Y51" i="14" s="1"/>
  <c r="N15" i="19"/>
  <c r="O15" i="19" s="1"/>
  <c r="S63" i="8"/>
  <c r="T63" i="8" s="1"/>
  <c r="X43" i="14"/>
  <c r="Y43" i="14" s="1"/>
  <c r="Z63" i="8"/>
  <c r="AB51" i="11"/>
  <c r="AA35" i="13"/>
  <c r="X20" i="19"/>
  <c r="Y20" i="19" s="1"/>
  <c r="S44" i="19"/>
  <c r="T44" i="19" s="1"/>
  <c r="AB36" i="19"/>
  <c r="AB28" i="19"/>
  <c r="AB49" i="16"/>
  <c r="S49" i="16"/>
  <c r="T49" i="16" s="1"/>
  <c r="AS8" i="5"/>
  <c r="P69" i="5"/>
  <c r="C13" i="2" s="1"/>
  <c r="D13" i="2" s="1"/>
  <c r="E72" i="5"/>
  <c r="F9" i="28"/>
  <c r="O13" i="18"/>
  <c r="S51" i="14"/>
  <c r="T51" i="14" s="1"/>
  <c r="D13" i="8"/>
  <c r="N13" i="8" s="1"/>
  <c r="O13" i="8" s="1"/>
  <c r="T9" i="5"/>
  <c r="AA43" i="13"/>
  <c r="Z43" i="13"/>
  <c r="AN69" i="5"/>
  <c r="T52" i="23"/>
  <c r="AN70" i="5"/>
  <c r="P70" i="5"/>
  <c r="AO8" i="5"/>
  <c r="AP8" i="5" s="1"/>
  <c r="L12" i="29"/>
  <c r="Q70" i="30"/>
  <c r="Q68" i="30"/>
  <c r="Q65" i="30"/>
  <c r="Q66" i="30"/>
  <c r="Q69" i="30"/>
  <c r="X41" i="16"/>
  <c r="Y41" i="16" s="1"/>
  <c r="AB41" i="16"/>
  <c r="AB33" i="16"/>
  <c r="N33" i="16"/>
  <c r="O33" i="16" s="1"/>
  <c r="X33" i="16"/>
  <c r="Y33" i="16" s="1"/>
  <c r="AA48" i="14"/>
  <c r="N51" i="14"/>
  <c r="O51" i="14" s="1"/>
  <c r="S43" i="14"/>
  <c r="T43" i="14" s="1"/>
  <c r="AB43" i="14"/>
  <c r="AB38" i="10"/>
  <c r="S38" i="10"/>
  <c r="T38" i="10" s="1"/>
  <c r="S15" i="19"/>
  <c r="T15" i="19" s="1"/>
  <c r="AB20" i="19"/>
  <c r="X28" i="19"/>
  <c r="Y28" i="19" s="1"/>
  <c r="X15" i="19"/>
  <c r="Y15" i="19" s="1"/>
  <c r="X36" i="19"/>
  <c r="Y36" i="19" s="1"/>
  <c r="AB44" i="19"/>
  <c r="X44" i="19"/>
  <c r="Y44" i="19" s="1"/>
  <c r="X41" i="18"/>
  <c r="Y41" i="18" s="1"/>
  <c r="X33" i="18"/>
  <c r="Y33" i="18" s="1"/>
  <c r="S41" i="18"/>
  <c r="T41" i="18" s="1"/>
  <c r="N33" i="18"/>
  <c r="O33" i="18" s="1"/>
  <c r="S33" i="18"/>
  <c r="T33" i="18" s="1"/>
  <c r="AB41" i="18"/>
  <c r="N23" i="18"/>
  <c r="O23" i="18" s="1"/>
  <c r="S23" i="18"/>
  <c r="T23" i="18" s="1"/>
  <c r="X49" i="18"/>
  <c r="Y49" i="18" s="1"/>
  <c r="X17" i="18"/>
  <c r="Y17" i="18" s="1"/>
  <c r="AB23" i="18"/>
  <c r="AB17" i="18"/>
  <c r="S49" i="18"/>
  <c r="T49" i="18" s="1"/>
  <c r="AB49" i="18"/>
  <c r="D52" i="9"/>
  <c r="C60" i="15"/>
  <c r="C60" i="11"/>
  <c r="R51" i="5"/>
  <c r="D60" i="13"/>
  <c r="N60" i="13" s="1"/>
  <c r="D60" i="11"/>
  <c r="N60" i="11" s="1"/>
  <c r="C61" i="17"/>
  <c r="X51" i="5"/>
  <c r="D52" i="8"/>
  <c r="X52" i="8" s="1"/>
  <c r="Y52" i="8" s="1"/>
  <c r="T48" i="5"/>
  <c r="V72" i="5"/>
  <c r="C15" i="2"/>
  <c r="E15" i="2" s="1"/>
  <c r="N22" i="8"/>
  <c r="O22" i="8" s="1"/>
  <c r="AB22" i="8"/>
  <c r="Z23" i="13"/>
  <c r="AA23" i="13"/>
  <c r="Z45" i="13"/>
  <c r="AA45" i="13"/>
  <c r="Z49" i="13"/>
  <c r="AA49" i="13"/>
  <c r="N54" i="10"/>
  <c r="O54" i="10" s="1"/>
  <c r="AB54" i="10"/>
  <c r="L11" i="29"/>
  <c r="L15" i="29"/>
  <c r="T51" i="23"/>
  <c r="AO51" i="5"/>
  <c r="AP51" i="5" s="1"/>
  <c r="AS51" i="5"/>
  <c r="AQ51" i="5"/>
  <c r="AR51" i="5" s="1"/>
  <c r="AC51" i="5"/>
  <c r="D60" i="14"/>
  <c r="N60" i="14" s="1"/>
  <c r="C61" i="16"/>
  <c r="D60" i="15"/>
  <c r="N60" i="15" s="1"/>
  <c r="D38" i="8"/>
  <c r="T34" i="5"/>
  <c r="D54" i="8"/>
  <c r="T50" i="5"/>
  <c r="R50" i="5"/>
  <c r="C54" i="15"/>
  <c r="D52" i="11"/>
  <c r="D52" i="13"/>
  <c r="C52" i="17"/>
  <c r="X48" i="5"/>
  <c r="D54" i="11"/>
  <c r="X50" i="5"/>
  <c r="D54" i="13"/>
  <c r="C59" i="17"/>
  <c r="D52" i="15"/>
  <c r="D52" i="14"/>
  <c r="AC48" i="5"/>
  <c r="C52" i="16"/>
  <c r="D54" i="15"/>
  <c r="C59" i="16"/>
  <c r="AC50" i="5"/>
  <c r="D54" i="14"/>
  <c r="Z33" i="13"/>
  <c r="AA33" i="13"/>
  <c r="L13" i="29"/>
  <c r="L16" i="29"/>
  <c r="K72" i="5"/>
  <c r="AG72" i="5"/>
  <c r="F21" i="28"/>
  <c r="I20" i="28" s="1"/>
  <c r="G90" i="2"/>
  <c r="S14" i="10"/>
  <c r="T14" i="10" s="1"/>
  <c r="Z50" i="14"/>
  <c r="R24" i="5"/>
  <c r="D25" i="9"/>
  <c r="N25" i="9" s="1"/>
  <c r="O25" i="9" s="1"/>
  <c r="C28" i="11"/>
  <c r="AA28" i="11" s="1"/>
  <c r="D29" i="9"/>
  <c r="C32" i="15"/>
  <c r="C32" i="11"/>
  <c r="R28" i="5"/>
  <c r="N37" i="9"/>
  <c r="O37" i="9" s="1"/>
  <c r="S37" i="9"/>
  <c r="T37" i="9" s="1"/>
  <c r="X37" i="9"/>
  <c r="Y37" i="9" s="1"/>
  <c r="AB37" i="9"/>
  <c r="D18" i="10"/>
  <c r="Z14" i="5"/>
  <c r="X14" i="5"/>
  <c r="D18" i="13"/>
  <c r="S18" i="13" s="1"/>
  <c r="T18" i="13" s="1"/>
  <c r="N21" i="24"/>
  <c r="O21" i="24" s="1"/>
  <c r="W21" i="24"/>
  <c r="S21" i="24"/>
  <c r="T21" i="24" s="1"/>
  <c r="N26" i="12"/>
  <c r="O26" i="12" s="1"/>
  <c r="X26" i="12"/>
  <c r="S26" i="12"/>
  <c r="T26" i="12" s="1"/>
  <c r="N26" i="24"/>
  <c r="O26" i="24" s="1"/>
  <c r="S26" i="24"/>
  <c r="T26" i="24" s="1"/>
  <c r="W26" i="24"/>
  <c r="X27" i="13"/>
  <c r="Y27" i="13" s="1"/>
  <c r="N29" i="12"/>
  <c r="O29" i="12" s="1"/>
  <c r="X29" i="12"/>
  <c r="S29" i="12"/>
  <c r="T29" i="12" s="1"/>
  <c r="D29" i="11"/>
  <c r="D29" i="13"/>
  <c r="X25" i="5"/>
  <c r="C29" i="17"/>
  <c r="N37" i="24"/>
  <c r="O37" i="24" s="1"/>
  <c r="W37" i="24"/>
  <c r="S37" i="24"/>
  <c r="T37" i="24" s="1"/>
  <c r="N39" i="12"/>
  <c r="O39" i="12" s="1"/>
  <c r="X39" i="12"/>
  <c r="S39" i="12"/>
  <c r="T39" i="12" s="1"/>
  <c r="D39" i="11"/>
  <c r="D39" i="13"/>
  <c r="C39" i="17"/>
  <c r="X35" i="5"/>
  <c r="N48" i="24"/>
  <c r="O48" i="24" s="1"/>
  <c r="W48" i="24"/>
  <c r="S48" i="24"/>
  <c r="T48" i="24" s="1"/>
  <c r="D50" i="10"/>
  <c r="Z46" i="5"/>
  <c r="D50" i="11"/>
  <c r="D50" i="13"/>
  <c r="C50" i="17"/>
  <c r="X46" i="5"/>
  <c r="N18" i="19"/>
  <c r="O18" i="19" s="1"/>
  <c r="S18" i="19"/>
  <c r="T18" i="19" s="1"/>
  <c r="AB18" i="19"/>
  <c r="X18" i="19"/>
  <c r="Y18" i="19" s="1"/>
  <c r="N22" i="19"/>
  <c r="O22" i="19" s="1"/>
  <c r="S22" i="19"/>
  <c r="T22" i="19" s="1"/>
  <c r="AB22" i="19"/>
  <c r="X22" i="19"/>
  <c r="Y22" i="19" s="1"/>
  <c r="N32" i="19"/>
  <c r="O32" i="19" s="1"/>
  <c r="S32" i="19"/>
  <c r="T32" i="19" s="1"/>
  <c r="AB32" i="19"/>
  <c r="X32" i="19"/>
  <c r="Y32" i="19" s="1"/>
  <c r="D15" i="8"/>
  <c r="T11" i="5"/>
  <c r="N29" i="17"/>
  <c r="O29" i="17" s="1"/>
  <c r="AB29" i="17"/>
  <c r="X29" i="17"/>
  <c r="Y29" i="17" s="1"/>
  <c r="S29" i="17"/>
  <c r="T29" i="17" s="1"/>
  <c r="N51" i="17"/>
  <c r="O51" i="17" s="1"/>
  <c r="X51" i="17"/>
  <c r="Y51" i="17" s="1"/>
  <c r="S51" i="17"/>
  <c r="T51" i="17" s="1"/>
  <c r="AB51" i="17"/>
  <c r="D33" i="8"/>
  <c r="T29" i="5"/>
  <c r="AS19" i="5"/>
  <c r="AQ19" i="5"/>
  <c r="AR19" i="5" s="1"/>
  <c r="AO19" i="5"/>
  <c r="AP19" i="5" s="1"/>
  <c r="AS35" i="5"/>
  <c r="AQ35" i="5"/>
  <c r="AR35" i="5" s="1"/>
  <c r="AO35" i="5"/>
  <c r="AP35" i="5" s="1"/>
  <c r="Z15" i="9"/>
  <c r="AA15" i="9"/>
  <c r="AA19" i="9"/>
  <c r="Z19" i="9"/>
  <c r="AA23" i="9"/>
  <c r="Z23" i="9"/>
  <c r="AA27" i="9"/>
  <c r="Z27" i="9"/>
  <c r="AA31" i="9"/>
  <c r="Z31" i="9"/>
  <c r="AA35" i="9"/>
  <c r="Z35" i="9"/>
  <c r="Z39" i="9"/>
  <c r="AA39" i="9"/>
  <c r="Z43" i="9"/>
  <c r="AA43" i="9"/>
  <c r="Z47" i="9"/>
  <c r="AA47" i="9"/>
  <c r="AA51" i="9"/>
  <c r="Z51" i="9"/>
  <c r="AS49" i="5"/>
  <c r="AQ49" i="5"/>
  <c r="AR49" i="5" s="1"/>
  <c r="AO49" i="5"/>
  <c r="AP49" i="5" s="1"/>
  <c r="C48" i="9"/>
  <c r="G47" i="5"/>
  <c r="W18" i="12"/>
  <c r="V18" i="12"/>
  <c r="D15" i="9"/>
  <c r="C18" i="15"/>
  <c r="C18" i="11"/>
  <c r="R14" i="5"/>
  <c r="W20" i="12"/>
  <c r="V20" i="12"/>
  <c r="D17" i="9"/>
  <c r="C20" i="15"/>
  <c r="C20" i="11"/>
  <c r="R16" i="5"/>
  <c r="N18" i="9"/>
  <c r="O18" i="9" s="1"/>
  <c r="AB18" i="9"/>
  <c r="X18" i="9"/>
  <c r="Y18" i="9" s="1"/>
  <c r="S18" i="9"/>
  <c r="T18" i="9" s="1"/>
  <c r="V24" i="12"/>
  <c r="W24" i="12"/>
  <c r="D21" i="9"/>
  <c r="C24" i="15"/>
  <c r="R20" i="5"/>
  <c r="C24" i="11"/>
  <c r="AS29" i="5"/>
  <c r="AQ29" i="5"/>
  <c r="AR29" i="5" s="1"/>
  <c r="AO29" i="5"/>
  <c r="AP29" i="5" s="1"/>
  <c r="R29" i="5"/>
  <c r="C33" i="15"/>
  <c r="Z33" i="15" s="1"/>
  <c r="D36" i="8"/>
  <c r="T32" i="5"/>
  <c r="AS37" i="5"/>
  <c r="AQ37" i="5"/>
  <c r="AR37" i="5" s="1"/>
  <c r="AO37" i="5"/>
  <c r="AP37" i="5" s="1"/>
  <c r="N39" i="9"/>
  <c r="O39" i="9" s="1"/>
  <c r="AB39" i="9"/>
  <c r="S39" i="9"/>
  <c r="T39" i="9" s="1"/>
  <c r="X39" i="9"/>
  <c r="Y39" i="9" s="1"/>
  <c r="W44" i="12"/>
  <c r="V44" i="12"/>
  <c r="R40" i="5"/>
  <c r="D41" i="9"/>
  <c r="N41" i="9" s="1"/>
  <c r="O41" i="9" s="1"/>
  <c r="C44" i="11"/>
  <c r="AA44" i="11" s="1"/>
  <c r="W47" i="12"/>
  <c r="V47" i="12"/>
  <c r="AS47" i="5"/>
  <c r="AO47" i="5"/>
  <c r="AP47" i="5" s="1"/>
  <c r="AQ47" i="5"/>
  <c r="AR47" i="5" s="1"/>
  <c r="D51" i="8"/>
  <c r="T47" i="5"/>
  <c r="D48" i="9"/>
  <c r="C51" i="15"/>
  <c r="C51" i="11"/>
  <c r="R47" i="5"/>
  <c r="C62" i="11"/>
  <c r="Z62" i="11" s="1"/>
  <c r="R52" i="5"/>
  <c r="N13" i="11"/>
  <c r="O13" i="11" s="1"/>
  <c r="S13" i="11"/>
  <c r="T13" i="11" s="1"/>
  <c r="AB13" i="11"/>
  <c r="X13" i="11"/>
  <c r="N15" i="12"/>
  <c r="O15" i="12" s="1"/>
  <c r="S15" i="12"/>
  <c r="AC52" i="12"/>
  <c r="AC13" i="12"/>
  <c r="X15" i="12"/>
  <c r="AC24" i="12"/>
  <c r="AC25" i="12"/>
  <c r="AC27" i="12"/>
  <c r="AC30" i="12"/>
  <c r="AC32" i="12"/>
  <c r="AC33" i="12"/>
  <c r="AC34" i="12"/>
  <c r="AC35" i="12"/>
  <c r="AC36" i="12"/>
  <c r="AC37" i="12"/>
  <c r="AC40" i="12"/>
  <c r="AC44" i="12"/>
  <c r="AC45" i="12"/>
  <c r="AC46" i="12"/>
  <c r="AC47" i="12"/>
  <c r="AC48" i="12"/>
  <c r="AC49" i="12"/>
  <c r="AC50" i="12"/>
  <c r="AC54" i="12"/>
  <c r="AC23" i="12"/>
  <c r="AC26" i="12"/>
  <c r="AC31" i="12"/>
  <c r="AC38" i="12"/>
  <c r="AC51" i="12"/>
  <c r="AC28" i="12"/>
  <c r="AC29" i="12"/>
  <c r="AC39" i="12"/>
  <c r="AC53" i="12"/>
  <c r="AC15" i="12"/>
  <c r="AC17" i="12"/>
  <c r="AC19" i="12"/>
  <c r="AC21" i="12"/>
  <c r="AC41" i="12"/>
  <c r="AC43" i="12"/>
  <c r="X11" i="5"/>
  <c r="D15" i="11"/>
  <c r="N15" i="11" s="1"/>
  <c r="O15" i="11" s="1"/>
  <c r="D15" i="13"/>
  <c r="X15" i="13" s="1"/>
  <c r="O17" i="24"/>
  <c r="W17" i="24"/>
  <c r="S17" i="24"/>
  <c r="T17" i="24" s="1"/>
  <c r="N22" i="12"/>
  <c r="O22" i="12" s="1"/>
  <c r="S22" i="12"/>
  <c r="T22" i="12" s="1"/>
  <c r="X22" i="12"/>
  <c r="N22" i="24"/>
  <c r="O22" i="24" s="1"/>
  <c r="W22" i="24"/>
  <c r="S22" i="24"/>
  <c r="T22" i="24" s="1"/>
  <c r="N23" i="13"/>
  <c r="O23" i="13" s="1"/>
  <c r="X23" i="13"/>
  <c r="Y23" i="13" s="1"/>
  <c r="AB23" i="13"/>
  <c r="S23" i="13"/>
  <c r="T23" i="13" s="1"/>
  <c r="AS21" i="5"/>
  <c r="AQ21" i="5"/>
  <c r="AR21" i="5" s="1"/>
  <c r="AO21" i="5"/>
  <c r="AP21" i="5" s="1"/>
  <c r="N25" i="24"/>
  <c r="O25" i="24" s="1"/>
  <c r="S25" i="24"/>
  <c r="T25" i="24" s="1"/>
  <c r="W25" i="24"/>
  <c r="D25" i="11"/>
  <c r="X21" i="5"/>
  <c r="C25" i="17"/>
  <c r="D25" i="13"/>
  <c r="N30" i="24"/>
  <c r="O30" i="24" s="1"/>
  <c r="S30" i="24"/>
  <c r="T30" i="24" s="1"/>
  <c r="W30" i="24"/>
  <c r="D30" i="11"/>
  <c r="D30" i="13"/>
  <c r="C30" i="17"/>
  <c r="X26" i="5"/>
  <c r="D32" i="11"/>
  <c r="C32" i="17"/>
  <c r="D32" i="13"/>
  <c r="X28" i="5"/>
  <c r="Z33" i="17"/>
  <c r="AA33" i="17"/>
  <c r="N33" i="11"/>
  <c r="O33" i="11" s="1"/>
  <c r="AB33" i="11"/>
  <c r="S33" i="11"/>
  <c r="T33" i="11" s="1"/>
  <c r="X33" i="11"/>
  <c r="Y33" i="11" s="1"/>
  <c r="Z34" i="17"/>
  <c r="AA34" i="17"/>
  <c r="N34" i="11"/>
  <c r="O34" i="11" s="1"/>
  <c r="S34" i="11"/>
  <c r="T34" i="11" s="1"/>
  <c r="X34" i="11"/>
  <c r="Y34" i="11" s="1"/>
  <c r="AB34" i="11"/>
  <c r="N36" i="12"/>
  <c r="O36" i="12" s="1"/>
  <c r="X36" i="12"/>
  <c r="S36" i="12"/>
  <c r="T36" i="12" s="1"/>
  <c r="D36" i="11"/>
  <c r="D36" i="13"/>
  <c r="C36" i="17"/>
  <c r="X32" i="5"/>
  <c r="D40" i="11"/>
  <c r="D40" i="13"/>
  <c r="C40" i="17"/>
  <c r="X36" i="5"/>
  <c r="D42" i="10"/>
  <c r="Z38" i="5"/>
  <c r="D42" i="11"/>
  <c r="D42" i="13"/>
  <c r="C42" i="17"/>
  <c r="X38" i="5"/>
  <c r="N45" i="24"/>
  <c r="O45" i="24" s="1"/>
  <c r="S45" i="24"/>
  <c r="T45" i="24" s="1"/>
  <c r="W45" i="24"/>
  <c r="N47" i="24"/>
  <c r="O47" i="24" s="1"/>
  <c r="S47" i="24"/>
  <c r="T47" i="24" s="1"/>
  <c r="W47" i="24"/>
  <c r="N13" i="14"/>
  <c r="O13" i="14" s="1"/>
  <c r="S13" i="14"/>
  <c r="T13" i="14" s="1"/>
  <c r="X13" i="14"/>
  <c r="Y13" i="14" s="1"/>
  <c r="AB13" i="14"/>
  <c r="AA14" i="16"/>
  <c r="Z14" i="16"/>
  <c r="N17" i="14"/>
  <c r="O17" i="14" s="1"/>
  <c r="AB17" i="14"/>
  <c r="S17" i="14"/>
  <c r="T17" i="14" s="1"/>
  <c r="X17" i="14"/>
  <c r="Y17" i="14" s="1"/>
  <c r="AA17" i="16"/>
  <c r="Z17" i="16"/>
  <c r="X18" i="15"/>
  <c r="Y18" i="15" s="1"/>
  <c r="N18" i="15"/>
  <c r="O18" i="15" s="1"/>
  <c r="S18" i="15"/>
  <c r="T18" i="15" s="1"/>
  <c r="AB18" i="15"/>
  <c r="AA22" i="16"/>
  <c r="Z22" i="16"/>
  <c r="S25" i="14"/>
  <c r="T25" i="14" s="1"/>
  <c r="AB25" i="14"/>
  <c r="N25" i="14"/>
  <c r="O25" i="14" s="1"/>
  <c r="X25" i="14"/>
  <c r="Y25" i="14" s="1"/>
  <c r="AA25" i="16"/>
  <c r="Z25" i="16"/>
  <c r="X26" i="15"/>
  <c r="Y26" i="15" s="1"/>
  <c r="N26" i="15"/>
  <c r="O26" i="15" s="1"/>
  <c r="AB26" i="15"/>
  <c r="N28" i="15"/>
  <c r="O28" i="15" s="1"/>
  <c r="AB28" i="15"/>
  <c r="X28" i="15"/>
  <c r="Y28" i="15" s="1"/>
  <c r="S28" i="15"/>
  <c r="T28" i="15" s="1"/>
  <c r="AA29" i="16"/>
  <c r="Z29" i="16"/>
  <c r="X30" i="15"/>
  <c r="Y30" i="15" s="1"/>
  <c r="N30" i="15"/>
  <c r="O30" i="15" s="1"/>
  <c r="S30" i="15"/>
  <c r="T30" i="15" s="1"/>
  <c r="AB30" i="15"/>
  <c r="N31" i="14"/>
  <c r="O31" i="14" s="1"/>
  <c r="AB31" i="14"/>
  <c r="S31" i="14"/>
  <c r="T31" i="14" s="1"/>
  <c r="X31" i="14"/>
  <c r="Y31" i="14" s="1"/>
  <c r="Z31" i="16"/>
  <c r="AA31" i="16"/>
  <c r="AA34" i="16"/>
  <c r="Z34" i="16"/>
  <c r="N36" i="15"/>
  <c r="O36" i="15" s="1"/>
  <c r="AB36" i="15"/>
  <c r="X36" i="15"/>
  <c r="Y36" i="15" s="1"/>
  <c r="S36" i="15"/>
  <c r="T36" i="15" s="1"/>
  <c r="S37" i="14"/>
  <c r="T37" i="14" s="1"/>
  <c r="N37" i="14"/>
  <c r="O37" i="14" s="1"/>
  <c r="X37" i="14"/>
  <c r="Y37" i="14" s="1"/>
  <c r="AB37" i="14"/>
  <c r="Z37" i="16"/>
  <c r="AA37" i="16"/>
  <c r="X38" i="15"/>
  <c r="Y38" i="15" s="1"/>
  <c r="N38" i="15"/>
  <c r="O38" i="15" s="1"/>
  <c r="S38" i="15"/>
  <c r="T38" i="15" s="1"/>
  <c r="AB38" i="15"/>
  <c r="Z42" i="16"/>
  <c r="AA42" i="16"/>
  <c r="AA65" i="5"/>
  <c r="AS41" i="5"/>
  <c r="AQ41" i="5"/>
  <c r="AR41" i="5" s="1"/>
  <c r="AO41" i="5"/>
  <c r="AP41" i="5" s="1"/>
  <c r="AS9" i="5"/>
  <c r="AO9" i="5"/>
  <c r="AP9" i="5" s="1"/>
  <c r="AQ9" i="5"/>
  <c r="AR9" i="5" s="1"/>
  <c r="AA14" i="9"/>
  <c r="Z14" i="9"/>
  <c r="Z16" i="9"/>
  <c r="AA16" i="9"/>
  <c r="C18" i="9"/>
  <c r="G17" i="5"/>
  <c r="D17" i="10"/>
  <c r="Z13" i="5"/>
  <c r="D36" i="10"/>
  <c r="Z32" i="5"/>
  <c r="D47" i="10"/>
  <c r="Z43" i="5"/>
  <c r="N35" i="18"/>
  <c r="O35" i="18" s="1"/>
  <c r="S35" i="18"/>
  <c r="T35" i="18" s="1"/>
  <c r="AB35" i="18"/>
  <c r="X35" i="18"/>
  <c r="Y35" i="18" s="1"/>
  <c r="N45" i="18"/>
  <c r="O45" i="18" s="1"/>
  <c r="S45" i="18"/>
  <c r="T45" i="18" s="1"/>
  <c r="AB45" i="18"/>
  <c r="X45" i="18"/>
  <c r="Y45" i="18" s="1"/>
  <c r="AA27" i="14"/>
  <c r="Z27" i="14"/>
  <c r="Z29" i="8"/>
  <c r="U29" i="8"/>
  <c r="AA29" i="8"/>
  <c r="Z29" i="10"/>
  <c r="U29" i="10"/>
  <c r="AA29" i="10"/>
  <c r="D29" i="8"/>
  <c r="T25" i="5"/>
  <c r="D34" i="8"/>
  <c r="T30" i="5"/>
  <c r="U43" i="8"/>
  <c r="X43" i="8" s="1"/>
  <c r="Y43" i="8" s="1"/>
  <c r="Z43" i="8"/>
  <c r="AA43" i="8"/>
  <c r="S45" i="8"/>
  <c r="T45" i="8" s="1"/>
  <c r="AA45" i="8"/>
  <c r="U45" i="8"/>
  <c r="X45" i="8" s="1"/>
  <c r="Y45" i="8" s="1"/>
  <c r="Z45" i="8"/>
  <c r="U45" i="10"/>
  <c r="Z45" i="10"/>
  <c r="AA45" i="10"/>
  <c r="D48" i="8"/>
  <c r="T44" i="5"/>
  <c r="D48" i="10"/>
  <c r="Z44" i="5"/>
  <c r="N13" i="16"/>
  <c r="O13" i="16" s="1"/>
  <c r="S13" i="16"/>
  <c r="T13" i="16" s="1"/>
  <c r="X13" i="16"/>
  <c r="Y13" i="16" s="1"/>
  <c r="AB13" i="16"/>
  <c r="N17" i="16"/>
  <c r="O17" i="16" s="1"/>
  <c r="S17" i="16"/>
  <c r="T17" i="16" s="1"/>
  <c r="X17" i="16"/>
  <c r="Y17" i="16" s="1"/>
  <c r="AB17" i="16"/>
  <c r="N35" i="16"/>
  <c r="O35" i="16" s="1"/>
  <c r="S35" i="16"/>
  <c r="T35" i="16" s="1"/>
  <c r="X35" i="16"/>
  <c r="Y35" i="16" s="1"/>
  <c r="AB35" i="16"/>
  <c r="N45" i="16"/>
  <c r="O45" i="16" s="1"/>
  <c r="S45" i="16"/>
  <c r="T45" i="16" s="1"/>
  <c r="AB45" i="16"/>
  <c r="X45" i="16"/>
  <c r="Y45" i="16" s="1"/>
  <c r="S36" i="14"/>
  <c r="T36" i="14" s="1"/>
  <c r="X36" i="14"/>
  <c r="Y36" i="14" s="1"/>
  <c r="N36" i="14"/>
  <c r="O36" i="14" s="1"/>
  <c r="AB36" i="14"/>
  <c r="X28" i="14"/>
  <c r="Y28" i="14" s="1"/>
  <c r="S28" i="14"/>
  <c r="T28" i="14" s="1"/>
  <c r="N28" i="14"/>
  <c r="O28" i="14" s="1"/>
  <c r="AB28" i="14"/>
  <c r="N20" i="14"/>
  <c r="O20" i="14" s="1"/>
  <c r="AB20" i="14"/>
  <c r="S20" i="14"/>
  <c r="T20" i="14" s="1"/>
  <c r="X20" i="14"/>
  <c r="Y20" i="14" s="1"/>
  <c r="S33" i="15"/>
  <c r="T33" i="15" s="1"/>
  <c r="X33" i="15"/>
  <c r="Y33" i="15" s="1"/>
  <c r="N33" i="15"/>
  <c r="O33" i="15" s="1"/>
  <c r="AB33" i="15"/>
  <c r="N25" i="15"/>
  <c r="O25" i="15" s="1"/>
  <c r="AB25" i="15"/>
  <c r="S25" i="15"/>
  <c r="T25" i="15" s="1"/>
  <c r="X25" i="15"/>
  <c r="Y25" i="15" s="1"/>
  <c r="S17" i="15"/>
  <c r="T17" i="15" s="1"/>
  <c r="X17" i="15"/>
  <c r="Y17" i="15" s="1"/>
  <c r="N17" i="15"/>
  <c r="O17" i="15" s="1"/>
  <c r="AB17" i="15"/>
  <c r="U16" i="24"/>
  <c r="V16" i="24"/>
  <c r="Z20" i="16"/>
  <c r="AA20" i="16"/>
  <c r="Z36" i="16"/>
  <c r="AA36" i="16"/>
  <c r="AC42" i="12"/>
  <c r="AC20" i="12"/>
  <c r="AC16" i="12"/>
  <c r="T42" i="23"/>
  <c r="C28" i="15"/>
  <c r="AA28" i="15" s="1"/>
  <c r="D30" i="9"/>
  <c r="S30" i="9" s="1"/>
  <c r="T30" i="9" s="1"/>
  <c r="D58" i="9"/>
  <c r="N58" i="9" s="1"/>
  <c r="C18" i="17"/>
  <c r="AA18" i="17" s="1"/>
  <c r="AC22" i="12"/>
  <c r="AC18" i="12"/>
  <c r="AC14" i="12"/>
  <c r="AC60" i="12"/>
  <c r="AA20" i="9"/>
  <c r="Z20" i="9"/>
  <c r="AA22" i="9"/>
  <c r="Z22" i="9"/>
  <c r="AA24" i="9"/>
  <c r="Z24" i="9"/>
  <c r="C26" i="9"/>
  <c r="G25" i="5"/>
  <c r="AA28" i="9"/>
  <c r="Z28" i="9"/>
  <c r="AA30" i="9"/>
  <c r="Z30" i="9"/>
  <c r="AA32" i="9"/>
  <c r="Z32" i="9"/>
  <c r="C34" i="9"/>
  <c r="G33" i="5"/>
  <c r="AA36" i="9"/>
  <c r="Z36" i="9"/>
  <c r="AA38" i="9"/>
  <c r="Z38" i="9"/>
  <c r="AA40" i="9"/>
  <c r="Z40" i="9"/>
  <c r="Z42" i="9"/>
  <c r="AA42" i="9"/>
  <c r="C44" i="9"/>
  <c r="G43" i="5"/>
  <c r="C46" i="9"/>
  <c r="G45" i="5"/>
  <c r="D13" i="19"/>
  <c r="D14" i="18"/>
  <c r="C14" i="13"/>
  <c r="M10" i="5"/>
  <c r="D14" i="19"/>
  <c r="D16" i="18"/>
  <c r="C16" i="13"/>
  <c r="M12" i="5"/>
  <c r="D20" i="18"/>
  <c r="C20" i="13"/>
  <c r="M16" i="5"/>
  <c r="D23" i="19"/>
  <c r="C28" i="13"/>
  <c r="M24" i="5"/>
  <c r="D28" i="18"/>
  <c r="D29" i="19"/>
  <c r="D34" i="18"/>
  <c r="C34" i="13"/>
  <c r="M30" i="5"/>
  <c r="D38" i="18"/>
  <c r="C38" i="13"/>
  <c r="D33" i="19"/>
  <c r="M34" i="5"/>
  <c r="D39" i="19"/>
  <c r="C44" i="13"/>
  <c r="M40" i="5"/>
  <c r="D44" i="18"/>
  <c r="D41" i="19"/>
  <c r="D46" i="18"/>
  <c r="C46" i="13"/>
  <c r="M42" i="5"/>
  <c r="AS44" i="5"/>
  <c r="AQ44" i="5"/>
  <c r="AR44" i="5" s="1"/>
  <c r="AO44" i="5"/>
  <c r="AP44" i="5" s="1"/>
  <c r="X14" i="16"/>
  <c r="Y14" i="16" s="1"/>
  <c r="N14" i="16"/>
  <c r="O14" i="16" s="1"/>
  <c r="S14" i="16"/>
  <c r="T14" i="16" s="1"/>
  <c r="AB14" i="16"/>
  <c r="D16" i="16"/>
  <c r="AI12" i="5"/>
  <c r="D16" i="17"/>
  <c r="AS14" i="5"/>
  <c r="AQ14" i="5"/>
  <c r="AR14" i="5" s="1"/>
  <c r="AO14" i="5"/>
  <c r="AP14" i="5" s="1"/>
  <c r="AS16" i="5"/>
  <c r="AQ16" i="5"/>
  <c r="AR16" i="5" s="1"/>
  <c r="AO16" i="5"/>
  <c r="AP16" i="5" s="1"/>
  <c r="D22" i="16"/>
  <c r="AI18" i="5"/>
  <c r="D22" i="17"/>
  <c r="AS20" i="5"/>
  <c r="AQ20" i="5"/>
  <c r="AR20" i="5" s="1"/>
  <c r="AO20" i="5"/>
  <c r="AP20" i="5" s="1"/>
  <c r="D26" i="16"/>
  <c r="AI22" i="5"/>
  <c r="D26" i="17"/>
  <c r="D28" i="16"/>
  <c r="AI24" i="5"/>
  <c r="D28" i="17"/>
  <c r="AS26" i="5"/>
  <c r="AQ26" i="5"/>
  <c r="AR26" i="5" s="1"/>
  <c r="AO26" i="5"/>
  <c r="AP26" i="5" s="1"/>
  <c r="D32" i="16"/>
  <c r="AI28" i="5"/>
  <c r="D32" i="17"/>
  <c r="AS30" i="5"/>
  <c r="AQ30" i="5"/>
  <c r="AR30" i="5" s="1"/>
  <c r="AO30" i="5"/>
  <c r="AP30" i="5" s="1"/>
  <c r="D36" i="16"/>
  <c r="AI32" i="5"/>
  <c r="D36" i="17"/>
  <c r="AS34" i="5"/>
  <c r="AQ34" i="5"/>
  <c r="AR34" i="5" s="1"/>
  <c r="AO34" i="5"/>
  <c r="AP34" i="5" s="1"/>
  <c r="D40" i="16"/>
  <c r="AI36" i="5"/>
  <c r="D40" i="17"/>
  <c r="AS38" i="5"/>
  <c r="AQ38" i="5"/>
  <c r="AR38" i="5" s="1"/>
  <c r="AO38" i="5"/>
  <c r="AP38" i="5" s="1"/>
  <c r="AS40" i="5"/>
  <c r="AQ40" i="5"/>
  <c r="AR40" i="5" s="1"/>
  <c r="AO40" i="5"/>
  <c r="AP40" i="5" s="1"/>
  <c r="D46" i="16"/>
  <c r="D46" i="17"/>
  <c r="AI42" i="5"/>
  <c r="D55" i="8"/>
  <c r="T51" i="5"/>
  <c r="Z55" i="8"/>
  <c r="U55" i="8"/>
  <c r="AA55" i="8"/>
  <c r="U62" i="24"/>
  <c r="V62" i="24"/>
  <c r="O56" i="19"/>
  <c r="X56" i="19"/>
  <c r="Y56" i="19" s="1"/>
  <c r="AB56" i="19"/>
  <c r="S56" i="19"/>
  <c r="T56" i="19" s="1"/>
  <c r="Z29" i="13"/>
  <c r="AA29" i="13"/>
  <c r="N24" i="19"/>
  <c r="O24" i="19" s="1"/>
  <c r="S24" i="19"/>
  <c r="T24" i="19" s="1"/>
  <c r="AB24" i="19"/>
  <c r="X24" i="19"/>
  <c r="Y24" i="19" s="1"/>
  <c r="Z16" i="8"/>
  <c r="AA16" i="8"/>
  <c r="U16" i="8"/>
  <c r="D16" i="8"/>
  <c r="T12" i="5"/>
  <c r="Z18" i="10"/>
  <c r="AA18" i="10"/>
  <c r="U18" i="10"/>
  <c r="Z18" i="8"/>
  <c r="AA18" i="8"/>
  <c r="U18" i="8"/>
  <c r="S13" i="18"/>
  <c r="T13" i="18" s="1"/>
  <c r="AB13" i="18"/>
  <c r="AA17" i="9"/>
  <c r="Z17" i="9"/>
  <c r="AA21" i="9"/>
  <c r="Z21" i="9"/>
  <c r="Z25" i="9"/>
  <c r="AA25" i="9"/>
  <c r="AA29" i="9"/>
  <c r="Z29" i="9"/>
  <c r="AA33" i="9"/>
  <c r="Z33" i="9"/>
  <c r="AA37" i="9"/>
  <c r="Z37" i="9"/>
  <c r="AA41" i="9"/>
  <c r="Z41" i="9"/>
  <c r="Z45" i="9"/>
  <c r="AA45" i="9"/>
  <c r="AA58" i="9"/>
  <c r="Z58" i="9"/>
  <c r="D15" i="10"/>
  <c r="Z11" i="5"/>
  <c r="D25" i="10"/>
  <c r="Z21" i="5"/>
  <c r="D39" i="10"/>
  <c r="Z35" i="5"/>
  <c r="D40" i="10"/>
  <c r="Z36" i="5"/>
  <c r="D28" i="8"/>
  <c r="T24" i="5"/>
  <c r="D32" i="8"/>
  <c r="T28" i="5"/>
  <c r="N18" i="12"/>
  <c r="O18" i="12" s="1"/>
  <c r="S18" i="12"/>
  <c r="T18" i="12" s="1"/>
  <c r="X18" i="12"/>
  <c r="N18" i="24"/>
  <c r="O18" i="24" s="1"/>
  <c r="W18" i="24"/>
  <c r="S18" i="24"/>
  <c r="T18" i="24" s="1"/>
  <c r="N21" i="12"/>
  <c r="O21" i="12" s="1"/>
  <c r="S21" i="12"/>
  <c r="T21" i="12" s="1"/>
  <c r="X21" i="12"/>
  <c r="D21" i="11"/>
  <c r="D21" i="13"/>
  <c r="X17" i="5"/>
  <c r="C21" i="17"/>
  <c r="D26" i="10"/>
  <c r="Z22" i="5"/>
  <c r="N29" i="24"/>
  <c r="O29" i="24" s="1"/>
  <c r="W29" i="24"/>
  <c r="S29" i="24"/>
  <c r="T29" i="24" s="1"/>
  <c r="N37" i="12"/>
  <c r="O37" i="12" s="1"/>
  <c r="X37" i="12"/>
  <c r="S37" i="12"/>
  <c r="T37" i="12" s="1"/>
  <c r="N39" i="24"/>
  <c r="O39" i="24" s="1"/>
  <c r="W39" i="24"/>
  <c r="S39" i="24"/>
  <c r="T39" i="24" s="1"/>
  <c r="S48" i="12"/>
  <c r="T48" i="12" s="1"/>
  <c r="N48" i="12"/>
  <c r="O48" i="12" s="1"/>
  <c r="X48" i="12"/>
  <c r="D48" i="11"/>
  <c r="D48" i="13"/>
  <c r="X44" i="5"/>
  <c r="C48" i="17"/>
  <c r="N50" i="24"/>
  <c r="O50" i="24" s="1"/>
  <c r="S50" i="24"/>
  <c r="T50" i="24" s="1"/>
  <c r="W50" i="24"/>
  <c r="N21" i="18"/>
  <c r="O21" i="18" s="1"/>
  <c r="X21" i="18"/>
  <c r="Y21" i="18" s="1"/>
  <c r="S21" i="18"/>
  <c r="T21" i="18" s="1"/>
  <c r="AB21" i="18"/>
  <c r="N25" i="18"/>
  <c r="O25" i="18" s="1"/>
  <c r="X25" i="18"/>
  <c r="Y25" i="18" s="1"/>
  <c r="S25" i="18"/>
  <c r="T25" i="18" s="1"/>
  <c r="AB25" i="18"/>
  <c r="X37" i="18"/>
  <c r="Y37" i="18" s="1"/>
  <c r="S37" i="18"/>
  <c r="T37" i="18" s="1"/>
  <c r="AB37" i="18"/>
  <c r="N37" i="18"/>
  <c r="O37" i="18" s="1"/>
  <c r="C15" i="15"/>
  <c r="C15" i="11"/>
  <c r="R11" i="5"/>
  <c r="N29" i="16"/>
  <c r="O29" i="16" s="1"/>
  <c r="S29" i="16"/>
  <c r="T29" i="16" s="1"/>
  <c r="X29" i="16"/>
  <c r="Y29" i="16" s="1"/>
  <c r="AB29" i="16"/>
  <c r="N51" i="16"/>
  <c r="O51" i="16" s="1"/>
  <c r="AB51" i="16"/>
  <c r="X51" i="16"/>
  <c r="Y51" i="16" s="1"/>
  <c r="S51" i="16"/>
  <c r="T51" i="16" s="1"/>
  <c r="D32" i="10"/>
  <c r="Z28" i="5"/>
  <c r="N30" i="19"/>
  <c r="O30" i="19" s="1"/>
  <c r="S30" i="19"/>
  <c r="T30" i="19" s="1"/>
  <c r="AB30" i="19"/>
  <c r="X30" i="19"/>
  <c r="Y30" i="19" s="1"/>
  <c r="N40" i="19"/>
  <c r="O40" i="19" s="1"/>
  <c r="AB40" i="19"/>
  <c r="X40" i="19"/>
  <c r="Y40" i="19" s="1"/>
  <c r="S40" i="19"/>
  <c r="T40" i="19" s="1"/>
  <c r="Z27" i="8"/>
  <c r="AA27" i="8"/>
  <c r="U27" i="8"/>
  <c r="D27" i="10"/>
  <c r="Z23" i="5"/>
  <c r="V29" i="24"/>
  <c r="U29" i="24"/>
  <c r="AA29" i="14"/>
  <c r="Z29" i="14"/>
  <c r="D29" i="10"/>
  <c r="Z25" i="5"/>
  <c r="D34" i="10"/>
  <c r="Z30" i="5"/>
  <c r="D43" i="10"/>
  <c r="Z39" i="5"/>
  <c r="V45" i="24"/>
  <c r="U45" i="24"/>
  <c r="D45" i="10"/>
  <c r="Z41" i="5"/>
  <c r="D50" i="8"/>
  <c r="T46" i="5"/>
  <c r="N13" i="17"/>
  <c r="O13" i="17" s="1"/>
  <c r="AB13" i="17"/>
  <c r="X13" i="17"/>
  <c r="S13" i="17"/>
  <c r="T13" i="17" s="1"/>
  <c r="N17" i="17"/>
  <c r="O17" i="17" s="1"/>
  <c r="AB17" i="17"/>
  <c r="X17" i="17"/>
  <c r="Y17" i="17" s="1"/>
  <c r="S17" i="17"/>
  <c r="T17" i="17" s="1"/>
  <c r="N35" i="17"/>
  <c r="O35" i="17" s="1"/>
  <c r="X35" i="17"/>
  <c r="Y35" i="17" s="1"/>
  <c r="AB35" i="17"/>
  <c r="S35" i="17"/>
  <c r="T35" i="17" s="1"/>
  <c r="N45" i="17"/>
  <c r="O45" i="17" s="1"/>
  <c r="AB45" i="17"/>
  <c r="X45" i="17"/>
  <c r="Y45" i="17" s="1"/>
  <c r="S45" i="17"/>
  <c r="T45" i="17" s="1"/>
  <c r="D41" i="8"/>
  <c r="T37" i="5"/>
  <c r="AA21" i="15"/>
  <c r="W41" i="12"/>
  <c r="V41" i="12"/>
  <c r="AS11" i="5"/>
  <c r="AQ11" i="5"/>
  <c r="AR11" i="5" s="1"/>
  <c r="AO11" i="5"/>
  <c r="AP11" i="5" s="1"/>
  <c r="AS27" i="5"/>
  <c r="AQ27" i="5"/>
  <c r="AR27" i="5" s="1"/>
  <c r="AO27" i="5"/>
  <c r="AP27" i="5" s="1"/>
  <c r="AS43" i="5"/>
  <c r="AQ43" i="5"/>
  <c r="AR43" i="5" s="1"/>
  <c r="AO43" i="5"/>
  <c r="AP43" i="5" s="1"/>
  <c r="B69" i="8"/>
  <c r="M85" i="5"/>
  <c r="B97" i="8"/>
  <c r="B95" i="8"/>
  <c r="B93" i="8"/>
  <c r="B91" i="8"/>
  <c r="B89" i="8"/>
  <c r="B87" i="8"/>
  <c r="B85" i="8"/>
  <c r="B83" i="8"/>
  <c r="B81" i="8"/>
  <c r="B79" i="8"/>
  <c r="B77" i="8"/>
  <c r="B75" i="8"/>
  <c r="B73" i="8"/>
  <c r="B71" i="8"/>
  <c r="B96" i="8"/>
  <c r="B92" i="8"/>
  <c r="B88" i="8"/>
  <c r="B84" i="8"/>
  <c r="B80" i="8"/>
  <c r="B76" i="8"/>
  <c r="B72" i="8"/>
  <c r="B98" i="8"/>
  <c r="B94" i="8"/>
  <c r="B90" i="8"/>
  <c r="B86" i="8"/>
  <c r="B82" i="8"/>
  <c r="B78" i="8"/>
  <c r="B74" i="8"/>
  <c r="B70" i="8"/>
  <c r="S14" i="17"/>
  <c r="T14" i="17" s="1"/>
  <c r="AB14" i="17"/>
  <c r="X14" i="17"/>
  <c r="Y14" i="17" s="1"/>
  <c r="N14" i="17"/>
  <c r="O14" i="17" s="1"/>
  <c r="X16" i="14"/>
  <c r="Y16" i="14" s="1"/>
  <c r="S37" i="15"/>
  <c r="T37" i="15" s="1"/>
  <c r="X37" i="15"/>
  <c r="Y37" i="15" s="1"/>
  <c r="N37" i="15"/>
  <c r="O37" i="15" s="1"/>
  <c r="AB37" i="15"/>
  <c r="X13" i="15"/>
  <c r="Y13" i="15" s="1"/>
  <c r="N13" i="15"/>
  <c r="O13" i="15" s="1"/>
  <c r="S13" i="15"/>
  <c r="T13" i="15" s="1"/>
  <c r="AB13" i="15"/>
  <c r="Z28" i="16"/>
  <c r="AA28" i="16"/>
  <c r="N39" i="8"/>
  <c r="O39" i="8" s="1"/>
  <c r="AB39" i="8"/>
  <c r="N43" i="8"/>
  <c r="O43" i="8" s="1"/>
  <c r="AB43" i="8"/>
  <c r="D46" i="19"/>
  <c r="D51" i="18"/>
  <c r="C51" i="13"/>
  <c r="M47" i="5"/>
  <c r="D48" i="19"/>
  <c r="C53" i="13"/>
  <c r="D53" i="18"/>
  <c r="M49" i="5"/>
  <c r="D50" i="19"/>
  <c r="D55" i="18"/>
  <c r="C60" i="13"/>
  <c r="M51" i="5"/>
  <c r="C50" i="9"/>
  <c r="G49" i="5"/>
  <c r="C52" i="9"/>
  <c r="G51" i="5"/>
  <c r="C60" i="9"/>
  <c r="G53" i="5"/>
  <c r="D18" i="8"/>
  <c r="T14" i="5"/>
  <c r="D20" i="8"/>
  <c r="T16" i="5"/>
  <c r="D24" i="8"/>
  <c r="T20" i="5"/>
  <c r="V33" i="12"/>
  <c r="W33" i="12"/>
  <c r="N31" i="9"/>
  <c r="O31" i="9" s="1"/>
  <c r="S31" i="9"/>
  <c r="T31" i="9" s="1"/>
  <c r="AB31" i="9"/>
  <c r="X31" i="9"/>
  <c r="Y31" i="9" s="1"/>
  <c r="V36" i="12"/>
  <c r="W36" i="12"/>
  <c r="D33" i="9"/>
  <c r="C36" i="11"/>
  <c r="C36" i="15"/>
  <c r="R32" i="5"/>
  <c r="Z42" i="11"/>
  <c r="AA42" i="11"/>
  <c r="D44" i="8"/>
  <c r="X44" i="8" s="1"/>
  <c r="Y44" i="8" s="1"/>
  <c r="T40" i="5"/>
  <c r="AA45" i="15"/>
  <c r="D47" i="8"/>
  <c r="T43" i="5"/>
  <c r="D44" i="9"/>
  <c r="C47" i="15"/>
  <c r="C47" i="11"/>
  <c r="R43" i="5"/>
  <c r="W51" i="12"/>
  <c r="V51" i="12"/>
  <c r="V62" i="12"/>
  <c r="W62" i="12"/>
  <c r="AA62" i="12" s="1"/>
  <c r="Z13" i="17"/>
  <c r="AA13" i="17"/>
  <c r="X13" i="13"/>
  <c r="Y13" i="13" s="1"/>
  <c r="N13" i="13"/>
  <c r="O13" i="13" s="1"/>
  <c r="AB13" i="13"/>
  <c r="S13" i="13"/>
  <c r="T13" i="13" s="1"/>
  <c r="B70" i="10"/>
  <c r="B72" i="10"/>
  <c r="B74" i="10"/>
  <c r="B76" i="10"/>
  <c r="B78" i="10"/>
  <c r="B80" i="10"/>
  <c r="B82" i="10"/>
  <c r="B84" i="10"/>
  <c r="B86" i="10"/>
  <c r="B88" i="10"/>
  <c r="B90" i="10"/>
  <c r="B92" i="10"/>
  <c r="B94" i="10"/>
  <c r="B96" i="10"/>
  <c r="B98" i="10"/>
  <c r="M86" i="5"/>
  <c r="B71" i="10"/>
  <c r="B75" i="10"/>
  <c r="B79" i="10"/>
  <c r="B83" i="10"/>
  <c r="B87" i="10"/>
  <c r="B91" i="10"/>
  <c r="B95" i="10"/>
  <c r="B69" i="10"/>
  <c r="B73" i="10"/>
  <c r="B77" i="10"/>
  <c r="B81" i="10"/>
  <c r="B85" i="10"/>
  <c r="B89" i="10"/>
  <c r="B93" i="10"/>
  <c r="B97" i="10"/>
  <c r="N15" i="24"/>
  <c r="O15" i="24" s="1"/>
  <c r="D65" i="24"/>
  <c r="S15" i="24"/>
  <c r="W15" i="24"/>
  <c r="AS13" i="5"/>
  <c r="AQ13" i="5"/>
  <c r="AR13" i="5" s="1"/>
  <c r="AO13" i="5"/>
  <c r="AP13" i="5" s="1"/>
  <c r="N17" i="12"/>
  <c r="O17" i="12" s="1"/>
  <c r="S17" i="12"/>
  <c r="T17" i="12" s="1"/>
  <c r="X17" i="12"/>
  <c r="D17" i="11"/>
  <c r="D17" i="13"/>
  <c r="X13" i="5"/>
  <c r="C17" i="17"/>
  <c r="D22" i="10"/>
  <c r="Z18" i="5"/>
  <c r="AA23" i="17"/>
  <c r="Z23" i="17"/>
  <c r="N23" i="11"/>
  <c r="O23" i="11" s="1"/>
  <c r="S23" i="11"/>
  <c r="T23" i="11" s="1"/>
  <c r="AB23" i="11"/>
  <c r="X23" i="11"/>
  <c r="Y23" i="11" s="1"/>
  <c r="N25" i="12"/>
  <c r="O25" i="12" s="1"/>
  <c r="X25" i="12"/>
  <c r="S25" i="12"/>
  <c r="T25" i="12" s="1"/>
  <c r="D30" i="10"/>
  <c r="Z26" i="5"/>
  <c r="N30" i="12"/>
  <c r="O30" i="12" s="1"/>
  <c r="X30" i="12"/>
  <c r="S30" i="12"/>
  <c r="T30" i="12" s="1"/>
  <c r="N32" i="24"/>
  <c r="O32" i="24" s="1"/>
  <c r="S32" i="24"/>
  <c r="T32" i="24" s="1"/>
  <c r="W32" i="24"/>
  <c r="N32" i="12"/>
  <c r="O32" i="12" s="1"/>
  <c r="X32" i="12"/>
  <c r="S32" i="12"/>
  <c r="T32" i="12" s="1"/>
  <c r="X33" i="13"/>
  <c r="Y33" i="13" s="1"/>
  <c r="N33" i="13"/>
  <c r="O33" i="13" s="1"/>
  <c r="S33" i="13"/>
  <c r="T33" i="13" s="1"/>
  <c r="AB33" i="13"/>
  <c r="S34" i="13"/>
  <c r="T34" i="13" s="1"/>
  <c r="N34" i="13"/>
  <c r="O34" i="13" s="1"/>
  <c r="X34" i="13"/>
  <c r="Y34" i="13" s="1"/>
  <c r="AB34" i="13"/>
  <c r="N36" i="24"/>
  <c r="O36" i="24" s="1"/>
  <c r="W36" i="24"/>
  <c r="S36" i="24"/>
  <c r="T36" i="24" s="1"/>
  <c r="N40" i="24"/>
  <c r="O40" i="24" s="1"/>
  <c r="S40" i="24"/>
  <c r="T40" i="24" s="1"/>
  <c r="W40" i="24"/>
  <c r="N40" i="12"/>
  <c r="O40" i="12" s="1"/>
  <c r="X40" i="12"/>
  <c r="S40" i="12"/>
  <c r="T40" i="12" s="1"/>
  <c r="N42" i="12"/>
  <c r="O42" i="12" s="1"/>
  <c r="S42" i="12"/>
  <c r="T42" i="12" s="1"/>
  <c r="X42" i="12"/>
  <c r="N42" i="24"/>
  <c r="O42" i="24" s="1"/>
  <c r="S42" i="24"/>
  <c r="T42" i="24" s="1"/>
  <c r="W42" i="24"/>
  <c r="Z43" i="17"/>
  <c r="AA43" i="17"/>
  <c r="N45" i="12"/>
  <c r="O45" i="12" s="1"/>
  <c r="S45" i="12"/>
  <c r="T45" i="12" s="1"/>
  <c r="X45" i="12"/>
  <c r="N47" i="12"/>
  <c r="O47" i="12" s="1"/>
  <c r="S47" i="12"/>
  <c r="T47" i="12" s="1"/>
  <c r="X47" i="12"/>
  <c r="D47" i="11"/>
  <c r="D47" i="13"/>
  <c r="C47" i="17"/>
  <c r="X43" i="5"/>
  <c r="AA13" i="16"/>
  <c r="Z13" i="16"/>
  <c r="X14" i="15"/>
  <c r="Y14" i="15" s="1"/>
  <c r="N14" i="15"/>
  <c r="O14" i="15" s="1"/>
  <c r="S14" i="15"/>
  <c r="T14" i="15" s="1"/>
  <c r="AB14" i="15"/>
  <c r="AA18" i="16"/>
  <c r="Z18" i="16"/>
  <c r="N20" i="15"/>
  <c r="O20" i="15" s="1"/>
  <c r="AB20" i="15"/>
  <c r="X20" i="15"/>
  <c r="Y20" i="15" s="1"/>
  <c r="S20" i="15"/>
  <c r="T20" i="15" s="1"/>
  <c r="AA21" i="16"/>
  <c r="Z21" i="16"/>
  <c r="X22" i="15"/>
  <c r="Y22" i="15" s="1"/>
  <c r="N22" i="15"/>
  <c r="O22" i="15" s="1"/>
  <c r="S22" i="15"/>
  <c r="T22" i="15" s="1"/>
  <c r="AB22" i="15"/>
  <c r="AA26" i="16"/>
  <c r="Z26" i="16"/>
  <c r="AA30" i="16"/>
  <c r="Z30" i="16"/>
  <c r="S33" i="14"/>
  <c r="T33" i="14" s="1"/>
  <c r="AB33" i="14"/>
  <c r="N33" i="14"/>
  <c r="O33" i="14" s="1"/>
  <c r="X33" i="14"/>
  <c r="Y33" i="14" s="1"/>
  <c r="Z33" i="16"/>
  <c r="AA33" i="16"/>
  <c r="X34" i="15"/>
  <c r="Y34" i="15" s="1"/>
  <c r="N34" i="15"/>
  <c r="O34" i="15" s="1"/>
  <c r="S34" i="15"/>
  <c r="T34" i="15" s="1"/>
  <c r="AB34" i="15"/>
  <c r="AA38" i="16"/>
  <c r="Z38" i="16"/>
  <c r="X42" i="15"/>
  <c r="Y42" i="15" s="1"/>
  <c r="N42" i="15"/>
  <c r="O42" i="15" s="1"/>
  <c r="S42" i="15"/>
  <c r="T42" i="15" s="1"/>
  <c r="AB42" i="15"/>
  <c r="M87" i="5"/>
  <c r="D47" i="15"/>
  <c r="D47" i="14"/>
  <c r="C47" i="16"/>
  <c r="AC43" i="5"/>
  <c r="M83" i="5"/>
  <c r="AS17" i="5"/>
  <c r="AQ17" i="5"/>
  <c r="AR17" i="5" s="1"/>
  <c r="AO17" i="5"/>
  <c r="AP17" i="5" s="1"/>
  <c r="AS25" i="5"/>
  <c r="AQ25" i="5"/>
  <c r="AR25" i="5" s="1"/>
  <c r="AO25" i="5"/>
  <c r="AP25" i="5" s="1"/>
  <c r="AS33" i="5"/>
  <c r="AQ33" i="5"/>
  <c r="AR33" i="5" s="1"/>
  <c r="AO33" i="5"/>
  <c r="AP33" i="5" s="1"/>
  <c r="AS45" i="5"/>
  <c r="AQ45" i="5"/>
  <c r="AR45" i="5" s="1"/>
  <c r="AO45" i="5"/>
  <c r="AP45" i="5" s="1"/>
  <c r="D18" i="18"/>
  <c r="D16" i="19"/>
  <c r="C18" i="13"/>
  <c r="M14" i="5"/>
  <c r="D19" i="19"/>
  <c r="C22" i="13"/>
  <c r="D22" i="18"/>
  <c r="M18" i="5"/>
  <c r="D21" i="19"/>
  <c r="D24" i="18"/>
  <c r="C24" i="13"/>
  <c r="M20" i="5"/>
  <c r="D26" i="18"/>
  <c r="C26" i="13"/>
  <c r="M22" i="5"/>
  <c r="D25" i="19"/>
  <c r="D30" i="18"/>
  <c r="C30" i="13"/>
  <c r="M26" i="5"/>
  <c r="D27" i="19"/>
  <c r="C32" i="13"/>
  <c r="D32" i="18"/>
  <c r="M28" i="5"/>
  <c r="D31" i="19"/>
  <c r="C36" i="13"/>
  <c r="M32" i="5"/>
  <c r="D36" i="18"/>
  <c r="D35" i="19"/>
  <c r="C40" i="13"/>
  <c r="D40" i="18"/>
  <c r="M36" i="5"/>
  <c r="D37" i="19"/>
  <c r="D42" i="18"/>
  <c r="C42" i="13"/>
  <c r="M38" i="5"/>
  <c r="D43" i="19"/>
  <c r="C48" i="13"/>
  <c r="D48" i="18"/>
  <c r="M44" i="5"/>
  <c r="B68" i="16"/>
  <c r="B70" i="16"/>
  <c r="B72" i="16"/>
  <c r="B74" i="16"/>
  <c r="B76" i="16"/>
  <c r="B78" i="16"/>
  <c r="B80" i="16"/>
  <c r="B82" i="16"/>
  <c r="B84" i="16"/>
  <c r="B86" i="16"/>
  <c r="B88" i="16"/>
  <c r="B90" i="16"/>
  <c r="B92" i="16"/>
  <c r="B94" i="16"/>
  <c r="B96" i="16"/>
  <c r="B69" i="16"/>
  <c r="B73" i="16"/>
  <c r="B77" i="16"/>
  <c r="B81" i="16"/>
  <c r="B85" i="16"/>
  <c r="B89" i="16"/>
  <c r="B93" i="16"/>
  <c r="B67" i="16"/>
  <c r="B75" i="16"/>
  <c r="B83" i="16"/>
  <c r="B91" i="16"/>
  <c r="B71" i="16"/>
  <c r="B79" i="16"/>
  <c r="B87" i="16"/>
  <c r="B95" i="16"/>
  <c r="M88" i="5"/>
  <c r="AS12" i="5"/>
  <c r="AQ12" i="5"/>
  <c r="AR12" i="5" s="1"/>
  <c r="AO12" i="5"/>
  <c r="AP12" i="5" s="1"/>
  <c r="D18" i="16"/>
  <c r="D18" i="17"/>
  <c r="AI14" i="5"/>
  <c r="D20" i="16"/>
  <c r="AI16" i="5"/>
  <c r="D20" i="17"/>
  <c r="AS18" i="5"/>
  <c r="AQ18" i="5"/>
  <c r="AR18" i="5" s="1"/>
  <c r="AO18" i="5"/>
  <c r="AP18" i="5" s="1"/>
  <c r="D24" i="16"/>
  <c r="AI20" i="5"/>
  <c r="D24" i="17"/>
  <c r="AS22" i="5"/>
  <c r="AQ22" i="5"/>
  <c r="AR22" i="5" s="1"/>
  <c r="AO22" i="5"/>
  <c r="AP22" i="5" s="1"/>
  <c r="AS24" i="5"/>
  <c r="AQ24" i="5"/>
  <c r="AR24" i="5" s="1"/>
  <c r="AO24" i="5"/>
  <c r="AP24" i="5" s="1"/>
  <c r="D30" i="16"/>
  <c r="AI26" i="5"/>
  <c r="D30" i="17"/>
  <c r="AS28" i="5"/>
  <c r="AQ28" i="5"/>
  <c r="AR28" i="5" s="1"/>
  <c r="AO28" i="5"/>
  <c r="AP28" i="5" s="1"/>
  <c r="D34" i="16"/>
  <c r="AI30" i="5"/>
  <c r="D34" i="17"/>
  <c r="AS32" i="5"/>
  <c r="AQ32" i="5"/>
  <c r="AR32" i="5" s="1"/>
  <c r="AO32" i="5"/>
  <c r="AP32" i="5" s="1"/>
  <c r="D38" i="16"/>
  <c r="AI34" i="5"/>
  <c r="D38" i="17"/>
  <c r="AS36" i="5"/>
  <c r="AQ36" i="5"/>
  <c r="AR36" i="5" s="1"/>
  <c r="AO36" i="5"/>
  <c r="AP36" i="5" s="1"/>
  <c r="D42" i="16"/>
  <c r="D42" i="17"/>
  <c r="AI38" i="5"/>
  <c r="D44" i="16"/>
  <c r="AI40" i="5"/>
  <c r="D44" i="17"/>
  <c r="AS42" i="5"/>
  <c r="AQ42" i="5"/>
  <c r="AR42" i="5" s="1"/>
  <c r="AO42" i="5"/>
  <c r="AP42" i="5" s="1"/>
  <c r="N59" i="17"/>
  <c r="O59" i="17" s="1"/>
  <c r="AB59" i="17"/>
  <c r="S59" i="17"/>
  <c r="T59" i="17" s="1"/>
  <c r="X59" i="17"/>
  <c r="Y59" i="17" s="1"/>
  <c r="O59" i="16"/>
  <c r="AB59" i="16"/>
  <c r="S59" i="16"/>
  <c r="T59" i="16" s="1"/>
  <c r="X59" i="16"/>
  <c r="Y59" i="16" s="1"/>
  <c r="Z60" i="10"/>
  <c r="U60" i="10"/>
  <c r="X60" i="10" s="1"/>
  <c r="Y60" i="10" s="1"/>
  <c r="AA60" i="10"/>
  <c r="S62" i="10"/>
  <c r="T62" i="10" s="1"/>
  <c r="AA62" i="10"/>
  <c r="AF62" i="10" s="1"/>
  <c r="U62" i="10"/>
  <c r="G16" i="2" s="1"/>
  <c r="Z62" i="10"/>
  <c r="D61" i="8"/>
  <c r="N61" i="8" s="1"/>
  <c r="T52" i="5"/>
  <c r="Z62" i="13"/>
  <c r="AA62" i="13"/>
  <c r="AF62" i="13" s="1"/>
  <c r="N29" i="18"/>
  <c r="O29" i="18" s="1"/>
  <c r="S29" i="18"/>
  <c r="T29" i="18" s="1"/>
  <c r="AB29" i="18"/>
  <c r="Z16" i="14"/>
  <c r="AA16" i="14"/>
  <c r="D16" i="10"/>
  <c r="Z12" i="5"/>
  <c r="V18" i="24"/>
  <c r="U18" i="24"/>
  <c r="Z18" i="14"/>
  <c r="AA18" i="14"/>
  <c r="N49" i="8"/>
  <c r="O49" i="8" s="1"/>
  <c r="S49" i="8"/>
  <c r="T49" i="8" s="1"/>
  <c r="AB49" i="8"/>
  <c r="Q33" i="23"/>
  <c r="X13" i="18"/>
  <c r="Q48" i="23"/>
  <c r="Q17" i="23"/>
  <c r="C22" i="2"/>
  <c r="N39" i="16"/>
  <c r="O39" i="16" s="1"/>
  <c r="X39" i="16"/>
  <c r="Y39" i="16" s="1"/>
  <c r="S39" i="16"/>
  <c r="T39" i="16" s="1"/>
  <c r="AB39" i="16"/>
  <c r="AN63" i="5"/>
  <c r="AN65" i="5" s="1"/>
  <c r="AN64" i="5"/>
  <c r="AA16" i="15"/>
  <c r="Z16" i="15"/>
  <c r="Z35" i="15"/>
  <c r="AA35" i="15"/>
  <c r="AA39" i="11"/>
  <c r="Z39" i="11"/>
  <c r="AA16" i="17"/>
  <c r="Z16" i="17"/>
  <c r="N16" i="11"/>
  <c r="O16" i="11" s="1"/>
  <c r="S16" i="11"/>
  <c r="T16" i="11" s="1"/>
  <c r="X16" i="11"/>
  <c r="Y16" i="11" s="1"/>
  <c r="AB16" i="11"/>
  <c r="S20" i="13"/>
  <c r="T20" i="13" s="1"/>
  <c r="N20" i="13"/>
  <c r="O20" i="13" s="1"/>
  <c r="AB20" i="13"/>
  <c r="X20" i="13"/>
  <c r="Y20" i="13" s="1"/>
  <c r="AA24" i="17"/>
  <c r="Z24" i="17"/>
  <c r="N24" i="11"/>
  <c r="O24" i="11" s="1"/>
  <c r="S24" i="11"/>
  <c r="T24" i="11" s="1"/>
  <c r="X24" i="11"/>
  <c r="Y24" i="11" s="1"/>
  <c r="AB24" i="11"/>
  <c r="S28" i="13"/>
  <c r="T28" i="13" s="1"/>
  <c r="N28" i="13"/>
  <c r="O28" i="13" s="1"/>
  <c r="X28" i="13"/>
  <c r="Y28" i="13" s="1"/>
  <c r="AB28" i="13"/>
  <c r="X31" i="13"/>
  <c r="Y31" i="13" s="1"/>
  <c r="N31" i="13"/>
  <c r="O31" i="13" s="1"/>
  <c r="AB31" i="13"/>
  <c r="S31" i="13"/>
  <c r="T31" i="13" s="1"/>
  <c r="N31" i="11"/>
  <c r="O31" i="11" s="1"/>
  <c r="S31" i="11"/>
  <c r="T31" i="11" s="1"/>
  <c r="X31" i="11"/>
  <c r="Y31" i="11" s="1"/>
  <c r="AB31" i="11"/>
  <c r="Z35" i="17"/>
  <c r="X41" i="13"/>
  <c r="Y41" i="13" s="1"/>
  <c r="N41" i="13"/>
  <c r="O41" i="13" s="1"/>
  <c r="AB41" i="13"/>
  <c r="S41" i="13"/>
  <c r="T41" i="13" s="1"/>
  <c r="N41" i="11"/>
  <c r="O41" i="11" s="1"/>
  <c r="S41" i="11"/>
  <c r="T41" i="11" s="1"/>
  <c r="X41" i="11"/>
  <c r="Y41" i="11" s="1"/>
  <c r="AB41" i="11"/>
  <c r="AA49" i="17"/>
  <c r="Z49" i="17"/>
  <c r="Z49" i="16"/>
  <c r="AA49" i="16"/>
  <c r="N22" i="9"/>
  <c r="O22" i="9" s="1"/>
  <c r="X22" i="9"/>
  <c r="Y22" i="9" s="1"/>
  <c r="S22" i="9"/>
  <c r="T22" i="9" s="1"/>
  <c r="AB22" i="9"/>
  <c r="AA52" i="11"/>
  <c r="Z52" i="11"/>
  <c r="Z62" i="15"/>
  <c r="AA62" i="15"/>
  <c r="AF62" i="15" s="1"/>
  <c r="AA15" i="17"/>
  <c r="Z15" i="17"/>
  <c r="N18" i="11"/>
  <c r="O18" i="11" s="1"/>
  <c r="S18" i="11"/>
  <c r="T18" i="11" s="1"/>
  <c r="X18" i="11"/>
  <c r="Y18" i="11" s="1"/>
  <c r="AB18" i="11"/>
  <c r="AB45" i="14"/>
  <c r="S45" i="14"/>
  <c r="T45" i="14" s="1"/>
  <c r="AA53" i="16"/>
  <c r="Z53" i="16"/>
  <c r="L14" i="29"/>
  <c r="C11" i="2"/>
  <c r="N31" i="16"/>
  <c r="O31" i="16" s="1"/>
  <c r="X31" i="16"/>
  <c r="S31" i="16"/>
  <c r="T31" i="16" s="1"/>
  <c r="AB31" i="16"/>
  <c r="AA19" i="11"/>
  <c r="Z19" i="11"/>
  <c r="N16" i="9"/>
  <c r="O16" i="9" s="1"/>
  <c r="S16" i="9"/>
  <c r="T16" i="9" s="1"/>
  <c r="X16" i="9"/>
  <c r="Y16" i="9" s="1"/>
  <c r="AB16" i="9"/>
  <c r="Z23" i="15"/>
  <c r="AA23" i="15"/>
  <c r="Z31" i="15"/>
  <c r="AA31" i="15"/>
  <c r="N40" i="9"/>
  <c r="O40" i="9" s="1"/>
  <c r="S40" i="9"/>
  <c r="T40" i="9" s="1"/>
  <c r="AB40" i="9"/>
  <c r="X40" i="9"/>
  <c r="Y40" i="9" s="1"/>
  <c r="N43" i="9"/>
  <c r="O43" i="9" s="1"/>
  <c r="X43" i="9"/>
  <c r="Y43" i="9" s="1"/>
  <c r="AB43" i="9"/>
  <c r="S43" i="9"/>
  <c r="T43" i="9" s="1"/>
  <c r="S16" i="13"/>
  <c r="T16" i="13" s="1"/>
  <c r="N16" i="13"/>
  <c r="O16" i="13" s="1"/>
  <c r="AB16" i="13"/>
  <c r="X16" i="13"/>
  <c r="Y16" i="13" s="1"/>
  <c r="AA20" i="17"/>
  <c r="Z20" i="17"/>
  <c r="N20" i="11"/>
  <c r="O20" i="11" s="1"/>
  <c r="S20" i="11"/>
  <c r="T20" i="11" s="1"/>
  <c r="AB20" i="11"/>
  <c r="X20" i="11"/>
  <c r="Y20" i="11" s="1"/>
  <c r="S24" i="13"/>
  <c r="T24" i="13" s="1"/>
  <c r="N24" i="13"/>
  <c r="O24" i="13" s="1"/>
  <c r="AB24" i="13"/>
  <c r="X24" i="13"/>
  <c r="Y24" i="13" s="1"/>
  <c r="AA28" i="17"/>
  <c r="Z28" i="17"/>
  <c r="N28" i="11"/>
  <c r="O28" i="11" s="1"/>
  <c r="S28" i="11"/>
  <c r="T28" i="11" s="1"/>
  <c r="X28" i="11"/>
  <c r="Y28" i="11" s="1"/>
  <c r="AB28" i="11"/>
  <c r="AA31" i="17"/>
  <c r="Z31" i="17"/>
  <c r="X35" i="13"/>
  <c r="Y35" i="13" s="1"/>
  <c r="N35" i="13"/>
  <c r="O35" i="13" s="1"/>
  <c r="S35" i="13"/>
  <c r="T35" i="13" s="1"/>
  <c r="AB35" i="13"/>
  <c r="Z41" i="17"/>
  <c r="AA41" i="17"/>
  <c r="X49" i="13"/>
  <c r="Y49" i="13" s="1"/>
  <c r="N49" i="13"/>
  <c r="O49" i="13" s="1"/>
  <c r="AB49" i="13"/>
  <c r="S49" i="13"/>
  <c r="T49" i="13" s="1"/>
  <c r="N49" i="11"/>
  <c r="O49" i="11" s="1"/>
  <c r="S49" i="11"/>
  <c r="T49" i="11" s="1"/>
  <c r="X49" i="11"/>
  <c r="Y49" i="11" s="1"/>
  <c r="AB49" i="11"/>
  <c r="X49" i="14"/>
  <c r="Y49" i="14" s="1"/>
  <c r="N49" i="14"/>
  <c r="O49" i="14" s="1"/>
  <c r="S49" i="14"/>
  <c r="T49" i="14" s="1"/>
  <c r="AB49" i="14"/>
  <c r="N49" i="15"/>
  <c r="O49" i="15" s="1"/>
  <c r="S49" i="15"/>
  <c r="T49" i="15" s="1"/>
  <c r="X49" i="15"/>
  <c r="Y49" i="15" s="1"/>
  <c r="AB49" i="15"/>
  <c r="N34" i="9"/>
  <c r="O34" i="9" s="1"/>
  <c r="S34" i="9"/>
  <c r="T34" i="9" s="1"/>
  <c r="AB34" i="9"/>
  <c r="X34" i="9"/>
  <c r="Y34" i="9" s="1"/>
  <c r="Z45" i="16"/>
  <c r="AA45" i="16"/>
  <c r="X53" i="14"/>
  <c r="Y53" i="14" s="1"/>
  <c r="N53" i="14"/>
  <c r="O53" i="14" s="1"/>
  <c r="S53" i="14"/>
  <c r="T53" i="14" s="1"/>
  <c r="AB53" i="14"/>
  <c r="N53" i="15"/>
  <c r="O53" i="15" s="1"/>
  <c r="AB53" i="15"/>
  <c r="S53" i="15"/>
  <c r="T53" i="15" s="1"/>
  <c r="X53" i="15"/>
  <c r="Y53" i="15" s="1"/>
  <c r="O60" i="10"/>
  <c r="S60" i="10"/>
  <c r="T60" i="10" s="1"/>
  <c r="AB60" i="10"/>
  <c r="F25" i="28" l="1"/>
  <c r="G24" i="2"/>
  <c r="G46" i="3"/>
  <c r="G48" i="3" s="1"/>
  <c r="G101" i="3"/>
  <c r="G145" i="3"/>
  <c r="G146" i="3"/>
  <c r="N90" i="2"/>
  <c r="M90" i="2"/>
  <c r="S27" i="13"/>
  <c r="T27" i="13" s="1"/>
  <c r="Z34" i="11"/>
  <c r="AB27" i="13"/>
  <c r="S52" i="10"/>
  <c r="T52" i="10" s="1"/>
  <c r="AB27" i="16"/>
  <c r="X27" i="17"/>
  <c r="Y27" i="17" s="1"/>
  <c r="X27" i="16"/>
  <c r="Y27" i="16" s="1"/>
  <c r="N45" i="14"/>
  <c r="O45" i="14" s="1"/>
  <c r="S13" i="10"/>
  <c r="T13" i="10" s="1"/>
  <c r="AB27" i="17"/>
  <c r="AA52" i="13"/>
  <c r="S27" i="16"/>
  <c r="T27" i="16" s="1"/>
  <c r="AB51" i="9"/>
  <c r="N51" i="9"/>
  <c r="O51" i="9" s="1"/>
  <c r="S27" i="17"/>
  <c r="T27" i="17" s="1"/>
  <c r="X13" i="10"/>
  <c r="Y13" i="10" s="1"/>
  <c r="X50" i="18"/>
  <c r="Y50" i="18" s="1"/>
  <c r="AB50" i="18"/>
  <c r="Z34" i="15"/>
  <c r="AA42" i="15"/>
  <c r="AB13" i="10"/>
  <c r="X51" i="9"/>
  <c r="Y51" i="9" s="1"/>
  <c r="Z35" i="11"/>
  <c r="Z15" i="16"/>
  <c r="N51" i="19"/>
  <c r="O51" i="19" s="1"/>
  <c r="Z52" i="15"/>
  <c r="S42" i="9"/>
  <c r="T42" i="9" s="1"/>
  <c r="N56" i="18"/>
  <c r="O56" i="18" s="1"/>
  <c r="AB42" i="9"/>
  <c r="S56" i="18"/>
  <c r="T56" i="18" s="1"/>
  <c r="AB21" i="15"/>
  <c r="N42" i="9"/>
  <c r="O42" i="9" s="1"/>
  <c r="N21" i="15"/>
  <c r="O21" i="15" s="1"/>
  <c r="X21" i="15"/>
  <c r="Y21" i="15" s="1"/>
  <c r="X56" i="18"/>
  <c r="Y56" i="18" s="1"/>
  <c r="X51" i="19"/>
  <c r="Y51" i="19" s="1"/>
  <c r="S51" i="19"/>
  <c r="T51" i="19" s="1"/>
  <c r="Z27" i="16"/>
  <c r="Z41" i="16"/>
  <c r="X40" i="15"/>
  <c r="Y40" i="15" s="1"/>
  <c r="AB16" i="15"/>
  <c r="N16" i="15"/>
  <c r="O16" i="15" s="1"/>
  <c r="AA49" i="15"/>
  <c r="AB16" i="14"/>
  <c r="N15" i="14"/>
  <c r="O15" i="14" s="1"/>
  <c r="X15" i="14"/>
  <c r="Y15" i="14" s="1"/>
  <c r="AB15" i="14"/>
  <c r="Z46" i="11"/>
  <c r="X43" i="11"/>
  <c r="Y43" i="11" s="1"/>
  <c r="S43" i="11"/>
  <c r="T43" i="11" s="1"/>
  <c r="N43" i="11"/>
  <c r="O43" i="11" s="1"/>
  <c r="S43" i="10"/>
  <c r="T43" i="10" s="1"/>
  <c r="N32" i="9"/>
  <c r="O32" i="9" s="1"/>
  <c r="X32" i="9"/>
  <c r="Y32" i="9" s="1"/>
  <c r="AB32" i="9"/>
  <c r="S35" i="8"/>
  <c r="T35" i="8" s="1"/>
  <c r="X16" i="15"/>
  <c r="Y16" i="15" s="1"/>
  <c r="S53" i="13"/>
  <c r="T53" i="13" s="1"/>
  <c r="AB53" i="13"/>
  <c r="U51" i="32"/>
  <c r="V51" i="32"/>
  <c r="N46" i="9"/>
  <c r="O46" i="9" s="1"/>
  <c r="X31" i="8"/>
  <c r="Y31" i="8" s="1"/>
  <c r="AB45" i="11"/>
  <c r="AB46" i="9"/>
  <c r="S46" i="9"/>
  <c r="T46" i="9" s="1"/>
  <c r="X45" i="11"/>
  <c r="Y45" i="11" s="1"/>
  <c r="N16" i="14"/>
  <c r="O16" i="14" s="1"/>
  <c r="X53" i="13"/>
  <c r="Y53" i="13" s="1"/>
  <c r="S40" i="15"/>
  <c r="T40" i="15" s="1"/>
  <c r="Z47" i="13"/>
  <c r="AB54" i="16"/>
  <c r="AB40" i="15"/>
  <c r="AB30" i="8"/>
  <c r="AA39" i="16"/>
  <c r="S19" i="11"/>
  <c r="T19" i="11" s="1"/>
  <c r="X39" i="14"/>
  <c r="Y39" i="14" s="1"/>
  <c r="S39" i="14"/>
  <c r="T39" i="14" s="1"/>
  <c r="N19" i="11"/>
  <c r="O19" i="11" s="1"/>
  <c r="S43" i="15"/>
  <c r="T43" i="15" s="1"/>
  <c r="X37" i="16"/>
  <c r="Y37" i="16" s="1"/>
  <c r="AA21" i="11"/>
  <c r="N24" i="14"/>
  <c r="O24" i="14" s="1"/>
  <c r="X37" i="13"/>
  <c r="Y37" i="13" s="1"/>
  <c r="Z44" i="15"/>
  <c r="AA45" i="17"/>
  <c r="Z26" i="17"/>
  <c r="S54" i="16"/>
  <c r="T54" i="16" s="1"/>
  <c r="Z33" i="11"/>
  <c r="N45" i="13"/>
  <c r="O45" i="13" s="1"/>
  <c r="AA43" i="15"/>
  <c r="X45" i="13"/>
  <c r="Y45" i="13" s="1"/>
  <c r="AB24" i="14"/>
  <c r="N24" i="15"/>
  <c r="O24" i="15" s="1"/>
  <c r="X19" i="16"/>
  <c r="Y19" i="16" s="1"/>
  <c r="S24" i="15"/>
  <c r="T24" i="15" s="1"/>
  <c r="S30" i="8"/>
  <c r="T30" i="8" s="1"/>
  <c r="S45" i="11"/>
  <c r="T45" i="11" s="1"/>
  <c r="N19" i="16"/>
  <c r="O19" i="16" s="1"/>
  <c r="AB24" i="15"/>
  <c r="X21" i="8"/>
  <c r="Y21" i="8" s="1"/>
  <c r="AA23" i="16"/>
  <c r="AB32" i="14"/>
  <c r="S19" i="17"/>
  <c r="T19" i="17" s="1"/>
  <c r="AB45" i="9"/>
  <c r="X19" i="17"/>
  <c r="Y19" i="17" s="1"/>
  <c r="X54" i="10"/>
  <c r="Y54" i="10" s="1"/>
  <c r="S31" i="10"/>
  <c r="T31" i="10" s="1"/>
  <c r="AA43" i="11"/>
  <c r="S19" i="16"/>
  <c r="T19" i="16" s="1"/>
  <c r="AB19" i="17"/>
  <c r="S45" i="15"/>
  <c r="T45" i="15" s="1"/>
  <c r="AB45" i="15"/>
  <c r="X45" i="15"/>
  <c r="Y45" i="15" s="1"/>
  <c r="Z40" i="15"/>
  <c r="N29" i="14"/>
  <c r="O29" i="14" s="1"/>
  <c r="S52" i="18"/>
  <c r="T52" i="18" s="1"/>
  <c r="S45" i="13"/>
  <c r="T45" i="13" s="1"/>
  <c r="Z23" i="11"/>
  <c r="X29" i="15"/>
  <c r="Y29" i="15" s="1"/>
  <c r="X24" i="14"/>
  <c r="Y24" i="14" s="1"/>
  <c r="AB37" i="13"/>
  <c r="AA19" i="15"/>
  <c r="Z13" i="13"/>
  <c r="AB32" i="15"/>
  <c r="AB52" i="18"/>
  <c r="N37" i="13"/>
  <c r="O37" i="13" s="1"/>
  <c r="AB19" i="11"/>
  <c r="X52" i="18"/>
  <c r="Y52" i="18" s="1"/>
  <c r="S39" i="8"/>
  <c r="T39" i="8" s="1"/>
  <c r="S29" i="15"/>
  <c r="T29" i="15" s="1"/>
  <c r="N40" i="14"/>
  <c r="O40" i="14" s="1"/>
  <c r="X43" i="15"/>
  <c r="Y43" i="15" s="1"/>
  <c r="AB39" i="14"/>
  <c r="AB29" i="15"/>
  <c r="N43" i="15"/>
  <c r="O43" i="15" s="1"/>
  <c r="AB37" i="16"/>
  <c r="AA43" i="16"/>
  <c r="S37" i="16"/>
  <c r="T37" i="16" s="1"/>
  <c r="S21" i="14"/>
  <c r="T21" i="14" s="1"/>
  <c r="AB40" i="14"/>
  <c r="X45" i="9"/>
  <c r="Y45" i="9" s="1"/>
  <c r="S25" i="8"/>
  <c r="T25" i="8" s="1"/>
  <c r="S19" i="14"/>
  <c r="T19" i="14" s="1"/>
  <c r="X43" i="13"/>
  <c r="Y43" i="13" s="1"/>
  <c r="N43" i="13"/>
  <c r="O43" i="13" s="1"/>
  <c r="X47" i="18"/>
  <c r="Y47" i="18" s="1"/>
  <c r="AA29" i="11"/>
  <c r="S17" i="8"/>
  <c r="T17" i="8" s="1"/>
  <c r="AB43" i="13"/>
  <c r="Z35" i="16"/>
  <c r="X21" i="14"/>
  <c r="Y21" i="14" s="1"/>
  <c r="N32" i="14"/>
  <c r="O32" i="14" s="1"/>
  <c r="AB19" i="14"/>
  <c r="N19" i="14"/>
  <c r="O19" i="14" s="1"/>
  <c r="AB47" i="18"/>
  <c r="Z37" i="11"/>
  <c r="S45" i="9"/>
  <c r="T45" i="9" s="1"/>
  <c r="N54" i="16"/>
  <c r="O54" i="16" s="1"/>
  <c r="S47" i="18"/>
  <c r="T47" i="18" s="1"/>
  <c r="S37" i="8"/>
  <c r="T37" i="8" s="1"/>
  <c r="X32" i="14"/>
  <c r="Y32" i="14" s="1"/>
  <c r="S28" i="8"/>
  <c r="T28" i="8" s="1"/>
  <c r="AB37" i="8"/>
  <c r="X20" i="9"/>
  <c r="Y20" i="9" s="1"/>
  <c r="Z22" i="17"/>
  <c r="AA37" i="15"/>
  <c r="AA54" i="13"/>
  <c r="X56" i="10"/>
  <c r="Y56" i="10" s="1"/>
  <c r="AB36" i="9"/>
  <c r="AA49" i="11"/>
  <c r="X19" i="10"/>
  <c r="Y19" i="10" s="1"/>
  <c r="AB27" i="11"/>
  <c r="AB29" i="14"/>
  <c r="S21" i="16"/>
  <c r="T21" i="16" s="1"/>
  <c r="N44" i="10"/>
  <c r="O44" i="10" s="1"/>
  <c r="AB44" i="10"/>
  <c r="N28" i="10"/>
  <c r="O28" i="10" s="1"/>
  <c r="AB28" i="10"/>
  <c r="N20" i="9"/>
  <c r="O20" i="9" s="1"/>
  <c r="N21" i="14"/>
  <c r="O21" i="14" s="1"/>
  <c r="N27" i="11"/>
  <c r="O27" i="11" s="1"/>
  <c r="X29" i="14"/>
  <c r="Y29" i="14" s="1"/>
  <c r="AA13" i="15"/>
  <c r="Z13" i="15"/>
  <c r="Z13" i="11"/>
  <c r="AA13" i="11"/>
  <c r="X21" i="16"/>
  <c r="Y21" i="16" s="1"/>
  <c r="S35" i="14"/>
  <c r="T35" i="14" s="1"/>
  <c r="X35" i="14"/>
  <c r="Y35" i="14" s="1"/>
  <c r="S40" i="14"/>
  <c r="T40" i="14" s="1"/>
  <c r="S28" i="10"/>
  <c r="T28" i="10" s="1"/>
  <c r="N21" i="16"/>
  <c r="O21" i="16" s="1"/>
  <c r="X28" i="10"/>
  <c r="Y28" i="10" s="1"/>
  <c r="AB20" i="9"/>
  <c r="AB35" i="14"/>
  <c r="S27" i="11"/>
  <c r="T27" i="11" s="1"/>
  <c r="Z15" i="13"/>
  <c r="AA15" i="13"/>
  <c r="Z39" i="15"/>
  <c r="AB27" i="18"/>
  <c r="S27" i="18"/>
  <c r="T27" i="18" s="1"/>
  <c r="N27" i="18"/>
  <c r="O27" i="18" s="1"/>
  <c r="X27" i="18"/>
  <c r="Y27" i="18" s="1"/>
  <c r="X44" i="10"/>
  <c r="Y44" i="10" s="1"/>
  <c r="AB15" i="18"/>
  <c r="N15" i="18"/>
  <c r="O15" i="18" s="1"/>
  <c r="S15" i="18"/>
  <c r="T15" i="18" s="1"/>
  <c r="X15" i="18"/>
  <c r="Y15" i="18" s="1"/>
  <c r="S39" i="10"/>
  <c r="T39" i="10" s="1"/>
  <c r="AB27" i="14"/>
  <c r="Z41" i="11"/>
  <c r="S36" i="9"/>
  <c r="T36" i="9" s="1"/>
  <c r="X41" i="14"/>
  <c r="Y41" i="14" s="1"/>
  <c r="X41" i="15"/>
  <c r="Y41" i="15" s="1"/>
  <c r="Z27" i="17"/>
  <c r="X38" i="9"/>
  <c r="Y38" i="9" s="1"/>
  <c r="AB13" i="9"/>
  <c r="S21" i="8"/>
  <c r="T21" i="8" s="1"/>
  <c r="Z18" i="17"/>
  <c r="AB53" i="11"/>
  <c r="AA25" i="15"/>
  <c r="X26" i="11"/>
  <c r="Y26" i="11" s="1"/>
  <c r="X49" i="9"/>
  <c r="Y49" i="9" s="1"/>
  <c r="S51" i="10"/>
  <c r="T51" i="10" s="1"/>
  <c r="S28" i="9"/>
  <c r="T28" i="9" s="1"/>
  <c r="S23" i="14"/>
  <c r="T23" i="14" s="1"/>
  <c r="Z50" i="11"/>
  <c r="X50" i="9"/>
  <c r="Y50" i="9" s="1"/>
  <c r="X47" i="9"/>
  <c r="Y47" i="9" s="1"/>
  <c r="Z27" i="11"/>
  <c r="AA27" i="15"/>
  <c r="X40" i="8"/>
  <c r="Y40" i="8" s="1"/>
  <c r="AA31" i="11"/>
  <c r="Z19" i="17"/>
  <c r="AB35" i="11"/>
  <c r="S47" i="16"/>
  <c r="T47" i="16" s="1"/>
  <c r="Z22" i="15"/>
  <c r="Z19" i="16"/>
  <c r="AB19" i="9"/>
  <c r="AA45" i="11"/>
  <c r="S47" i="9"/>
  <c r="T47" i="9" s="1"/>
  <c r="N49" i="9"/>
  <c r="O49" i="9" s="1"/>
  <c r="N13" i="9"/>
  <c r="O13" i="9" s="1"/>
  <c r="N41" i="14"/>
  <c r="O41" i="14" s="1"/>
  <c r="N23" i="14"/>
  <c r="O23" i="14" s="1"/>
  <c r="X27" i="14"/>
  <c r="Y27" i="14" s="1"/>
  <c r="S19" i="9"/>
  <c r="T19" i="9" s="1"/>
  <c r="AB50" i="9"/>
  <c r="N47" i="9"/>
  <c r="O47" i="9" s="1"/>
  <c r="X24" i="9"/>
  <c r="Y24" i="9" s="1"/>
  <c r="S49" i="9"/>
  <c r="T49" i="9" s="1"/>
  <c r="AB38" i="9"/>
  <c r="AB28" i="9"/>
  <c r="X23" i="14"/>
  <c r="Y23" i="14" s="1"/>
  <c r="AA22" i="11"/>
  <c r="AB51" i="13"/>
  <c r="X23" i="10"/>
  <c r="Y23" i="10" s="1"/>
  <c r="N53" i="11"/>
  <c r="O53" i="11" s="1"/>
  <c r="S35" i="11"/>
  <c r="T35" i="11" s="1"/>
  <c r="S24" i="9"/>
  <c r="T24" i="9" s="1"/>
  <c r="AA16" i="11"/>
  <c r="N47" i="16"/>
  <c r="O47" i="16" s="1"/>
  <c r="S38" i="9"/>
  <c r="T38" i="9" s="1"/>
  <c r="S13" i="9"/>
  <c r="T13" i="9" s="1"/>
  <c r="S41" i="14"/>
  <c r="T41" i="14" s="1"/>
  <c r="N27" i="14"/>
  <c r="O27" i="14" s="1"/>
  <c r="AA48" i="11"/>
  <c r="S35" i="10"/>
  <c r="T35" i="10" s="1"/>
  <c r="S23" i="10"/>
  <c r="T23" i="10" s="1"/>
  <c r="Z51" i="17"/>
  <c r="AA38" i="15"/>
  <c r="S33" i="10"/>
  <c r="T33" i="10" s="1"/>
  <c r="S53" i="11"/>
  <c r="T53" i="11" s="1"/>
  <c r="AA41" i="15"/>
  <c r="X35" i="11"/>
  <c r="Y35" i="11" s="1"/>
  <c r="X47" i="16"/>
  <c r="Y47" i="16" s="1"/>
  <c r="AA37" i="17"/>
  <c r="AB22" i="13"/>
  <c r="AA54" i="11"/>
  <c r="S44" i="10"/>
  <c r="T44" i="10" s="1"/>
  <c r="AA53" i="11"/>
  <c r="S35" i="9"/>
  <c r="T35" i="9" s="1"/>
  <c r="X57" i="8"/>
  <c r="Y57" i="8" s="1"/>
  <c r="X46" i="10"/>
  <c r="Y46" i="10" s="1"/>
  <c r="S26" i="8"/>
  <c r="T26" i="8" s="1"/>
  <c r="Z46" i="15"/>
  <c r="AA46" i="15"/>
  <c r="AB54" i="18"/>
  <c r="S54" i="18"/>
  <c r="T54" i="18" s="1"/>
  <c r="N54" i="18"/>
  <c r="O54" i="18" s="1"/>
  <c r="X54" i="18"/>
  <c r="Y54" i="18" s="1"/>
  <c r="Z21" i="13"/>
  <c r="AA21" i="13"/>
  <c r="Z26" i="15"/>
  <c r="AA26" i="15"/>
  <c r="Z30" i="15"/>
  <c r="AA30" i="15"/>
  <c r="AA17" i="15"/>
  <c r="Z17" i="15"/>
  <c r="Z50" i="15"/>
  <c r="AA50" i="15"/>
  <c r="N32" i="15"/>
  <c r="O32" i="15" s="1"/>
  <c r="N41" i="15"/>
  <c r="O41" i="15" s="1"/>
  <c r="X31" i="10"/>
  <c r="Y31" i="10" s="1"/>
  <c r="X48" i="14"/>
  <c r="Y48" i="14" s="1"/>
  <c r="S48" i="14"/>
  <c r="T48" i="14" s="1"/>
  <c r="AB48" i="14"/>
  <c r="N48" i="14"/>
  <c r="O48" i="14" s="1"/>
  <c r="N49" i="10"/>
  <c r="O49" i="10" s="1"/>
  <c r="AB49" i="10"/>
  <c r="AA29" i="15"/>
  <c r="Z29" i="15"/>
  <c r="N23" i="10"/>
  <c r="O23" i="10" s="1"/>
  <c r="AB23" i="10"/>
  <c r="N41" i="10"/>
  <c r="O41" i="10" s="1"/>
  <c r="AB41" i="10"/>
  <c r="AB24" i="9"/>
  <c r="X36" i="9"/>
  <c r="Y36" i="9" s="1"/>
  <c r="X28" i="9"/>
  <c r="Y28" i="9" s="1"/>
  <c r="X19" i="9"/>
  <c r="Y19" i="9" s="1"/>
  <c r="S51" i="13"/>
  <c r="T51" i="13" s="1"/>
  <c r="AA17" i="11"/>
  <c r="Z17" i="11"/>
  <c r="N22" i="13"/>
  <c r="O22" i="13" s="1"/>
  <c r="S19" i="13"/>
  <c r="T19" i="13" s="1"/>
  <c r="N14" i="9"/>
  <c r="O14" i="9" s="1"/>
  <c r="AB14" i="9"/>
  <c r="S14" i="9"/>
  <c r="T14" i="9" s="1"/>
  <c r="X14" i="9"/>
  <c r="Y14" i="9" s="1"/>
  <c r="N19" i="18"/>
  <c r="O19" i="18" s="1"/>
  <c r="AB19" i="18"/>
  <c r="X19" i="18"/>
  <c r="Y19" i="18" s="1"/>
  <c r="S19" i="18"/>
  <c r="T19" i="18" s="1"/>
  <c r="AA53" i="17"/>
  <c r="X22" i="13"/>
  <c r="Y22" i="13" s="1"/>
  <c r="AA48" i="15"/>
  <c r="AB19" i="13"/>
  <c r="X33" i="10"/>
  <c r="Y33" i="10" s="1"/>
  <c r="X30" i="8"/>
  <c r="Y30" i="8" s="1"/>
  <c r="X51" i="13"/>
  <c r="Y51" i="13" s="1"/>
  <c r="X35" i="9"/>
  <c r="Y35" i="9" s="1"/>
  <c r="AA40" i="11"/>
  <c r="Z40" i="11"/>
  <c r="AB17" i="19"/>
  <c r="S17" i="19"/>
  <c r="T17" i="19" s="1"/>
  <c r="X17" i="19"/>
  <c r="Y17" i="19" s="1"/>
  <c r="N17" i="19"/>
  <c r="O17" i="19" s="1"/>
  <c r="Z38" i="11"/>
  <c r="AA48" i="16"/>
  <c r="Z48" i="16"/>
  <c r="N27" i="9"/>
  <c r="O27" i="9" s="1"/>
  <c r="AB27" i="9"/>
  <c r="X27" i="9"/>
  <c r="Y27" i="9" s="1"/>
  <c r="S27" i="9"/>
  <c r="T27" i="9" s="1"/>
  <c r="N31" i="10"/>
  <c r="O31" i="10" s="1"/>
  <c r="AB31" i="10"/>
  <c r="Z19" i="13"/>
  <c r="AA19" i="13"/>
  <c r="N48" i="15"/>
  <c r="O48" i="15" s="1"/>
  <c r="X48" i="15"/>
  <c r="Y48" i="15" s="1"/>
  <c r="AB48" i="15"/>
  <c r="S48" i="15"/>
  <c r="T48" i="15" s="1"/>
  <c r="X26" i="13"/>
  <c r="Y26" i="13" s="1"/>
  <c r="Z25" i="11"/>
  <c r="X32" i="15"/>
  <c r="Y32" i="15" s="1"/>
  <c r="X19" i="13"/>
  <c r="Y19" i="13" s="1"/>
  <c r="AA53" i="15"/>
  <c r="AB41" i="15"/>
  <c r="S21" i="10"/>
  <c r="T21" i="10" s="1"/>
  <c r="X22" i="8"/>
  <c r="Y22" i="8" s="1"/>
  <c r="N35" i="10"/>
  <c r="O35" i="10" s="1"/>
  <c r="AB35" i="10"/>
  <c r="N23" i="9"/>
  <c r="O23" i="9" s="1"/>
  <c r="S23" i="9"/>
  <c r="T23" i="9" s="1"/>
  <c r="AB23" i="9"/>
  <c r="X23" i="9"/>
  <c r="Y23" i="9" s="1"/>
  <c r="AB35" i="9"/>
  <c r="S49" i="10"/>
  <c r="T49" i="10" s="1"/>
  <c r="Z26" i="11"/>
  <c r="AA26" i="11"/>
  <c r="N47" i="17"/>
  <c r="O47" i="17" s="1"/>
  <c r="AB47" i="17"/>
  <c r="X47" i="17"/>
  <c r="Y47" i="17" s="1"/>
  <c r="S47" i="17"/>
  <c r="T47" i="17" s="1"/>
  <c r="N33" i="10"/>
  <c r="O33" i="10" s="1"/>
  <c r="AB33" i="10"/>
  <c r="N19" i="10"/>
  <c r="O19" i="10" s="1"/>
  <c r="AB19" i="10"/>
  <c r="K46" i="3"/>
  <c r="K48" i="3" s="1"/>
  <c r="D143" i="25"/>
  <c r="AA60" i="14"/>
  <c r="N22" i="11"/>
  <c r="O22" i="11" s="1"/>
  <c r="I97" i="11"/>
  <c r="S19" i="10"/>
  <c r="T19" i="10" s="1"/>
  <c r="S19" i="8"/>
  <c r="T19" i="8" s="1"/>
  <c r="X19" i="8"/>
  <c r="Y19" i="8" s="1"/>
  <c r="S14" i="8"/>
  <c r="T14" i="8" s="1"/>
  <c r="X53" i="8"/>
  <c r="Y53" i="8" s="1"/>
  <c r="X46" i="8"/>
  <c r="Y46" i="8" s="1"/>
  <c r="AB22" i="11"/>
  <c r="X37" i="8"/>
  <c r="Y37" i="8" s="1"/>
  <c r="S23" i="8"/>
  <c r="T23" i="8" s="1"/>
  <c r="X58" i="10"/>
  <c r="Y58" i="10" s="1"/>
  <c r="X41" i="10"/>
  <c r="Y41" i="10" s="1"/>
  <c r="S41" i="10"/>
  <c r="T41" i="10" s="1"/>
  <c r="S37" i="10"/>
  <c r="T37" i="10" s="1"/>
  <c r="X37" i="10"/>
  <c r="Y37" i="10" s="1"/>
  <c r="N21" i="8"/>
  <c r="O21" i="8" s="1"/>
  <c r="AB21" i="8"/>
  <c r="AB58" i="10"/>
  <c r="S58" i="10"/>
  <c r="T58" i="10" s="1"/>
  <c r="N58" i="10"/>
  <c r="O58" i="10" s="1"/>
  <c r="N31" i="8"/>
  <c r="O31" i="8" s="1"/>
  <c r="AB31" i="8"/>
  <c r="S31" i="8"/>
  <c r="T31" i="8" s="1"/>
  <c r="N35" i="8"/>
  <c r="O35" i="8" s="1"/>
  <c r="AB35" i="8"/>
  <c r="N19" i="8"/>
  <c r="O19" i="8" s="1"/>
  <c r="AB19" i="8"/>
  <c r="X35" i="8"/>
  <c r="Y35" i="8" s="1"/>
  <c r="N23" i="8"/>
  <c r="O23" i="8" s="1"/>
  <c r="AB23" i="8"/>
  <c r="X23" i="8"/>
  <c r="Y23" i="8" s="1"/>
  <c r="AA62" i="11"/>
  <c r="AF62" i="11" s="1"/>
  <c r="C93" i="11"/>
  <c r="AB57" i="10"/>
  <c r="N57" i="10"/>
  <c r="O57" i="10" s="1"/>
  <c r="X57" i="10"/>
  <c r="Y57" i="10" s="1"/>
  <c r="S57" i="10"/>
  <c r="T57" i="10" s="1"/>
  <c r="S58" i="8"/>
  <c r="T58" i="8" s="1"/>
  <c r="N58" i="8"/>
  <c r="O58" i="8" s="1"/>
  <c r="AB58" i="8"/>
  <c r="X58" i="8"/>
  <c r="Y58" i="8" s="1"/>
  <c r="S26" i="11"/>
  <c r="T26" i="11" s="1"/>
  <c r="AB26" i="11"/>
  <c r="X20" i="10"/>
  <c r="Y20" i="10" s="1"/>
  <c r="X49" i="10"/>
  <c r="Y49" i="10" s="1"/>
  <c r="X26" i="8"/>
  <c r="Y26" i="8" s="1"/>
  <c r="X22" i="11"/>
  <c r="Y22" i="11" s="1"/>
  <c r="S24" i="10"/>
  <c r="T24" i="10" s="1"/>
  <c r="AB44" i="13"/>
  <c r="N44" i="13"/>
  <c r="O44" i="13" s="1"/>
  <c r="X44" i="13"/>
  <c r="Y44" i="13" s="1"/>
  <c r="S44" i="13"/>
  <c r="T44" i="13" s="1"/>
  <c r="Z38" i="17"/>
  <c r="AA38" i="17"/>
  <c r="N53" i="10"/>
  <c r="O53" i="10" s="1"/>
  <c r="AB53" i="10"/>
  <c r="N51" i="10"/>
  <c r="O51" i="10" s="1"/>
  <c r="AB51" i="10"/>
  <c r="AA14" i="11"/>
  <c r="Z14" i="11"/>
  <c r="AB46" i="13"/>
  <c r="S46" i="13"/>
  <c r="T46" i="13" s="1"/>
  <c r="N46" i="13"/>
  <c r="O46" i="13" s="1"/>
  <c r="X46" i="13"/>
  <c r="Y46" i="13" s="1"/>
  <c r="X53" i="10"/>
  <c r="Y53" i="10" s="1"/>
  <c r="N14" i="8"/>
  <c r="O14" i="8" s="1"/>
  <c r="X14" i="8"/>
  <c r="Y14" i="8" s="1"/>
  <c r="AB14" i="8"/>
  <c r="N53" i="8"/>
  <c r="O53" i="8" s="1"/>
  <c r="AB53" i="8"/>
  <c r="S53" i="8"/>
  <c r="T53" i="8" s="1"/>
  <c r="N46" i="8"/>
  <c r="O46" i="8" s="1"/>
  <c r="S46" i="8"/>
  <c r="T46" i="8" s="1"/>
  <c r="AB46" i="8"/>
  <c r="N24" i="10"/>
  <c r="O24" i="10" s="1"/>
  <c r="AB24" i="10"/>
  <c r="N20" i="10"/>
  <c r="O20" i="10" s="1"/>
  <c r="AB20" i="10"/>
  <c r="Z44" i="17"/>
  <c r="AA44" i="17"/>
  <c r="N44" i="11"/>
  <c r="O44" i="11" s="1"/>
  <c r="X44" i="11"/>
  <c r="Y44" i="11" s="1"/>
  <c r="AB44" i="11"/>
  <c r="S44" i="11"/>
  <c r="T44" i="11" s="1"/>
  <c r="AB38" i="13"/>
  <c r="S38" i="13"/>
  <c r="T38" i="13" s="1"/>
  <c r="N38" i="13"/>
  <c r="O38" i="13" s="1"/>
  <c r="X38" i="13"/>
  <c r="Y38" i="13" s="1"/>
  <c r="N38" i="11"/>
  <c r="O38" i="11" s="1"/>
  <c r="X38" i="11"/>
  <c r="Y38" i="11" s="1"/>
  <c r="AB38" i="11"/>
  <c r="S38" i="11"/>
  <c r="T38" i="11" s="1"/>
  <c r="AA14" i="15"/>
  <c r="Z14" i="15"/>
  <c r="N42" i="8"/>
  <c r="O42" i="8" s="1"/>
  <c r="AB42" i="8"/>
  <c r="S42" i="8"/>
  <c r="T42" i="8" s="1"/>
  <c r="N26" i="8"/>
  <c r="O26" i="8" s="1"/>
  <c r="AB26" i="8"/>
  <c r="AA46" i="17"/>
  <c r="Z46" i="17"/>
  <c r="N46" i="11"/>
  <c r="O46" i="11" s="1"/>
  <c r="S46" i="11"/>
  <c r="T46" i="11" s="1"/>
  <c r="X46" i="11"/>
  <c r="Y46" i="11" s="1"/>
  <c r="AB46" i="11"/>
  <c r="N46" i="10"/>
  <c r="O46" i="10" s="1"/>
  <c r="AB46" i="10"/>
  <c r="N52" i="10"/>
  <c r="O52" i="10" s="1"/>
  <c r="AB52" i="10"/>
  <c r="X42" i="8"/>
  <c r="Y42" i="8" s="1"/>
  <c r="X52" i="10"/>
  <c r="Y52" i="10" s="1"/>
  <c r="D148" i="25"/>
  <c r="D156" i="25"/>
  <c r="D149" i="25"/>
  <c r="D155" i="25"/>
  <c r="D150" i="25"/>
  <c r="D154" i="25"/>
  <c r="D151" i="25"/>
  <c r="D157" i="25"/>
  <c r="AB55" i="15"/>
  <c r="S55" i="15"/>
  <c r="T55" i="15" s="1"/>
  <c r="N55" i="15"/>
  <c r="O55" i="15" s="1"/>
  <c r="X55" i="15"/>
  <c r="Y55" i="15" s="1"/>
  <c r="Z55" i="16"/>
  <c r="AA55" i="16"/>
  <c r="S55" i="10"/>
  <c r="T55" i="10" s="1"/>
  <c r="AA56" i="11"/>
  <c r="Z56" i="11"/>
  <c r="AA55" i="14"/>
  <c r="Z55" i="14"/>
  <c r="AB57" i="8"/>
  <c r="S57" i="8"/>
  <c r="T57" i="8" s="1"/>
  <c r="N57" i="8"/>
  <c r="O57" i="8" s="1"/>
  <c r="N56" i="10"/>
  <c r="O56" i="10" s="1"/>
  <c r="AB56" i="10"/>
  <c r="S56" i="10"/>
  <c r="T56" i="10" s="1"/>
  <c r="S55" i="13"/>
  <c r="T55" i="13" s="1"/>
  <c r="N55" i="13"/>
  <c r="O55" i="13" s="1"/>
  <c r="AB55" i="13"/>
  <c r="X55" i="13"/>
  <c r="Y55" i="13" s="1"/>
  <c r="AA55" i="17"/>
  <c r="Z55" i="17"/>
  <c r="Z55" i="15"/>
  <c r="AA55" i="15"/>
  <c r="Z62" i="14"/>
  <c r="AA62" i="14"/>
  <c r="AF62" i="14" s="1"/>
  <c r="S55" i="14"/>
  <c r="T55" i="14" s="1"/>
  <c r="X55" i="14"/>
  <c r="Y55" i="14" s="1"/>
  <c r="N55" i="14"/>
  <c r="O55" i="14" s="1"/>
  <c r="AB55" i="14"/>
  <c r="X53" i="9"/>
  <c r="Y53" i="9" s="1"/>
  <c r="N53" i="9"/>
  <c r="O53" i="9" s="1"/>
  <c r="AB53" i="9"/>
  <c r="S53" i="9"/>
  <c r="T53" i="9" s="1"/>
  <c r="Z56" i="15"/>
  <c r="AA56" i="15"/>
  <c r="S55" i="11"/>
  <c r="T55" i="11" s="1"/>
  <c r="X55" i="11"/>
  <c r="Y55" i="11" s="1"/>
  <c r="N55" i="11"/>
  <c r="O55" i="11" s="1"/>
  <c r="AB55" i="11"/>
  <c r="AA55" i="11"/>
  <c r="Z55" i="11"/>
  <c r="AA56" i="14"/>
  <c r="Z56" i="14"/>
  <c r="J90" i="2"/>
  <c r="E13" i="2"/>
  <c r="E9" i="28"/>
  <c r="P72" i="5"/>
  <c r="AB26" i="13"/>
  <c r="N37" i="11"/>
  <c r="O37" i="11" s="1"/>
  <c r="Y13" i="11"/>
  <c r="Z28" i="15"/>
  <c r="N26" i="13"/>
  <c r="O26" i="13" s="1"/>
  <c r="X37" i="11"/>
  <c r="Y37" i="11" s="1"/>
  <c r="AB37" i="11"/>
  <c r="AB41" i="9"/>
  <c r="S25" i="9"/>
  <c r="T25" i="9" s="1"/>
  <c r="X13" i="8"/>
  <c r="Y13" i="8" s="1"/>
  <c r="X25" i="9"/>
  <c r="Y25" i="9" s="1"/>
  <c r="N30" i="9"/>
  <c r="O30" i="9" s="1"/>
  <c r="S13" i="8"/>
  <c r="T13" i="8" s="1"/>
  <c r="G63" i="2"/>
  <c r="G93" i="2" s="1"/>
  <c r="O64" i="12"/>
  <c r="O64" i="24"/>
  <c r="AA70" i="5"/>
  <c r="E10" i="2"/>
  <c r="G9" i="28" s="1"/>
  <c r="F19" i="29"/>
  <c r="D15" i="2"/>
  <c r="AA69" i="5"/>
  <c r="S15" i="11"/>
  <c r="T15" i="11" s="1"/>
  <c r="Z28" i="11"/>
  <c r="AB30" i="9"/>
  <c r="N54" i="15"/>
  <c r="O54" i="15" s="1"/>
  <c r="AB54" i="15"/>
  <c r="X54" i="15"/>
  <c r="Y54" i="15" s="1"/>
  <c r="S54" i="15"/>
  <c r="T54" i="15" s="1"/>
  <c r="N52" i="15"/>
  <c r="O52" i="15" s="1"/>
  <c r="AB52" i="15"/>
  <c r="X52" i="15"/>
  <c r="Y52" i="15" s="1"/>
  <c r="S52" i="15"/>
  <c r="T52" i="15" s="1"/>
  <c r="X54" i="13"/>
  <c r="Y54" i="13" s="1"/>
  <c r="AB54" i="13"/>
  <c r="S54" i="13"/>
  <c r="T54" i="13" s="1"/>
  <c r="N54" i="13"/>
  <c r="O54" i="13" s="1"/>
  <c r="N54" i="11"/>
  <c r="O54" i="11" s="1"/>
  <c r="X54" i="11"/>
  <c r="Y54" i="11" s="1"/>
  <c r="S54" i="11"/>
  <c r="T54" i="11" s="1"/>
  <c r="AB54" i="11"/>
  <c r="AA52" i="17"/>
  <c r="Z52" i="17"/>
  <c r="N52" i="11"/>
  <c r="O52" i="11" s="1"/>
  <c r="AB52" i="11"/>
  <c r="X52" i="11"/>
  <c r="Y52" i="11" s="1"/>
  <c r="S52" i="11"/>
  <c r="T52" i="11" s="1"/>
  <c r="N54" i="8"/>
  <c r="O54" i="8" s="1"/>
  <c r="X54" i="8"/>
  <c r="Y54" i="8" s="1"/>
  <c r="S54" i="8"/>
  <c r="T54" i="8" s="1"/>
  <c r="AB54" i="8"/>
  <c r="N38" i="8"/>
  <c r="O38" i="8" s="1"/>
  <c r="AB38" i="8"/>
  <c r="S38" i="8"/>
  <c r="T38" i="8" s="1"/>
  <c r="X38" i="8"/>
  <c r="Y38" i="8" s="1"/>
  <c r="AA61" i="16"/>
  <c r="AF61" i="16" s="1"/>
  <c r="Z61" i="16"/>
  <c r="N52" i="8"/>
  <c r="O52" i="8" s="1"/>
  <c r="S52" i="8"/>
  <c r="T52" i="8" s="1"/>
  <c r="AB52" i="8"/>
  <c r="Z61" i="17"/>
  <c r="AA61" i="17"/>
  <c r="AF61" i="17" s="1"/>
  <c r="O60" i="13"/>
  <c r="AB60" i="13"/>
  <c r="S60" i="13"/>
  <c r="T60" i="13" s="1"/>
  <c r="X60" i="13"/>
  <c r="Y60" i="13" s="1"/>
  <c r="Z60" i="11"/>
  <c r="AA60" i="11"/>
  <c r="AB52" i="9"/>
  <c r="N52" i="9"/>
  <c r="O52" i="9" s="1"/>
  <c r="X52" i="9"/>
  <c r="Y52" i="9" s="1"/>
  <c r="N54" i="14"/>
  <c r="O54" i="14" s="1"/>
  <c r="X54" i="14"/>
  <c r="Y54" i="14" s="1"/>
  <c r="S54" i="14"/>
  <c r="T54" i="14" s="1"/>
  <c r="AB54" i="14"/>
  <c r="AA59" i="16"/>
  <c r="Z59" i="16"/>
  <c r="Z52" i="16"/>
  <c r="AA52" i="16"/>
  <c r="N52" i="14"/>
  <c r="O52" i="14" s="1"/>
  <c r="AB52" i="14"/>
  <c r="X52" i="14"/>
  <c r="Y52" i="14" s="1"/>
  <c r="S52" i="14"/>
  <c r="T52" i="14" s="1"/>
  <c r="Z59" i="17"/>
  <c r="AA59" i="17"/>
  <c r="AB52" i="13"/>
  <c r="X52" i="13"/>
  <c r="Y52" i="13" s="1"/>
  <c r="S52" i="13"/>
  <c r="T52" i="13" s="1"/>
  <c r="N52" i="13"/>
  <c r="O52" i="13" s="1"/>
  <c r="Z54" i="15"/>
  <c r="AA54" i="15"/>
  <c r="O60" i="15"/>
  <c r="AB60" i="15"/>
  <c r="X60" i="15"/>
  <c r="Y60" i="15" s="1"/>
  <c r="S60" i="15"/>
  <c r="T60" i="15" s="1"/>
  <c r="O60" i="14"/>
  <c r="X60" i="14"/>
  <c r="Y60" i="14" s="1"/>
  <c r="AB60" i="14"/>
  <c r="S60" i="14"/>
  <c r="T60" i="14" s="1"/>
  <c r="O60" i="11"/>
  <c r="S60" i="11"/>
  <c r="T60" i="11" s="1"/>
  <c r="AB60" i="11"/>
  <c r="X60" i="11"/>
  <c r="Y60" i="11" s="1"/>
  <c r="AA60" i="15"/>
  <c r="Z60" i="15"/>
  <c r="I19" i="28"/>
  <c r="AA33" i="15"/>
  <c r="AB18" i="13"/>
  <c r="S15" i="13"/>
  <c r="T15" i="13" s="1"/>
  <c r="AB15" i="11"/>
  <c r="Z44" i="11"/>
  <c r="X15" i="11"/>
  <c r="Y15" i="11" s="1"/>
  <c r="D65" i="10"/>
  <c r="D69" i="10" s="1"/>
  <c r="X18" i="10"/>
  <c r="Y18" i="10" s="1"/>
  <c r="X58" i="9"/>
  <c r="Y58" i="9" s="1"/>
  <c r="AB58" i="9"/>
  <c r="O58" i="9"/>
  <c r="Y13" i="18"/>
  <c r="X18" i="13"/>
  <c r="Y18" i="13" s="1"/>
  <c r="N15" i="13"/>
  <c r="O15" i="13" s="1"/>
  <c r="S41" i="9"/>
  <c r="T41" i="9" s="1"/>
  <c r="AB25" i="9"/>
  <c r="S58" i="9"/>
  <c r="T58" i="9" s="1"/>
  <c r="S43" i="8"/>
  <c r="T43" i="8" s="1"/>
  <c r="D64" i="16"/>
  <c r="D93" i="16" s="1"/>
  <c r="X55" i="8"/>
  <c r="Y55" i="8" s="1"/>
  <c r="X45" i="10"/>
  <c r="Y45" i="10" s="1"/>
  <c r="N16" i="10"/>
  <c r="O16" i="10" s="1"/>
  <c r="AB16" i="10"/>
  <c r="S16" i="10"/>
  <c r="T16" i="10" s="1"/>
  <c r="X16" i="10"/>
  <c r="Y16" i="10" s="1"/>
  <c r="AB44" i="17"/>
  <c r="S44" i="17"/>
  <c r="T44" i="17" s="1"/>
  <c r="N44" i="17"/>
  <c r="O44" i="17" s="1"/>
  <c r="X44" i="17"/>
  <c r="Y44" i="17" s="1"/>
  <c r="N44" i="16"/>
  <c r="O44" i="16" s="1"/>
  <c r="AB44" i="16"/>
  <c r="S44" i="16"/>
  <c r="T44" i="16" s="1"/>
  <c r="X44" i="16"/>
  <c r="Y44" i="16" s="1"/>
  <c r="N42" i="17"/>
  <c r="O42" i="17" s="1"/>
  <c r="S42" i="17"/>
  <c r="T42" i="17" s="1"/>
  <c r="AB42" i="17"/>
  <c r="X42" i="17"/>
  <c r="Y42" i="17" s="1"/>
  <c r="N24" i="17"/>
  <c r="O24" i="17" s="1"/>
  <c r="S24" i="17"/>
  <c r="T24" i="17" s="1"/>
  <c r="AB24" i="17"/>
  <c r="X24" i="17"/>
  <c r="Y24" i="17" s="1"/>
  <c r="AB24" i="16"/>
  <c r="X24" i="16"/>
  <c r="Y24" i="16" s="1"/>
  <c r="N24" i="16"/>
  <c r="O24" i="16" s="1"/>
  <c r="S24" i="16"/>
  <c r="T24" i="16" s="1"/>
  <c r="N20" i="17"/>
  <c r="O20" i="17" s="1"/>
  <c r="S20" i="17"/>
  <c r="T20" i="17" s="1"/>
  <c r="AB20" i="17"/>
  <c r="X20" i="17"/>
  <c r="Y20" i="17" s="1"/>
  <c r="N20" i="16"/>
  <c r="O20" i="16" s="1"/>
  <c r="AB20" i="16"/>
  <c r="S20" i="16"/>
  <c r="T20" i="16" s="1"/>
  <c r="X20" i="16"/>
  <c r="Y20" i="16" s="1"/>
  <c r="S18" i="17"/>
  <c r="T18" i="17" s="1"/>
  <c r="AB18" i="17"/>
  <c r="N18" i="17"/>
  <c r="O18" i="17" s="1"/>
  <c r="X18" i="17"/>
  <c r="Y18" i="17" s="1"/>
  <c r="Z48" i="13"/>
  <c r="AA48" i="13"/>
  <c r="N42" i="18"/>
  <c r="O42" i="18" s="1"/>
  <c r="X42" i="18"/>
  <c r="Y42" i="18" s="1"/>
  <c r="S42" i="18"/>
  <c r="T42" i="18" s="1"/>
  <c r="AB42" i="18"/>
  <c r="Z40" i="13"/>
  <c r="AA40" i="13"/>
  <c r="X36" i="18"/>
  <c r="Y36" i="18" s="1"/>
  <c r="AB36" i="18"/>
  <c r="N36" i="18"/>
  <c r="O36" i="18" s="1"/>
  <c r="S36" i="18"/>
  <c r="T36" i="18" s="1"/>
  <c r="AA36" i="13"/>
  <c r="Z36" i="13"/>
  <c r="Z32" i="13"/>
  <c r="AA32" i="13"/>
  <c r="N30" i="18"/>
  <c r="O30" i="18" s="1"/>
  <c r="AB30" i="18"/>
  <c r="S30" i="18"/>
  <c r="T30" i="18" s="1"/>
  <c r="X30" i="18"/>
  <c r="Y30" i="18" s="1"/>
  <c r="S26" i="18"/>
  <c r="T26" i="18" s="1"/>
  <c r="AB26" i="18"/>
  <c r="N26" i="18"/>
  <c r="O26" i="18" s="1"/>
  <c r="X26" i="18"/>
  <c r="Y26" i="18" s="1"/>
  <c r="Z24" i="13"/>
  <c r="AA24" i="13"/>
  <c r="S21" i="19"/>
  <c r="T21" i="19" s="1"/>
  <c r="AB21" i="19"/>
  <c r="N21" i="19"/>
  <c r="O21" i="19" s="1"/>
  <c r="X21" i="19"/>
  <c r="Y21" i="19" s="1"/>
  <c r="N22" i="18"/>
  <c r="O22" i="18" s="1"/>
  <c r="S22" i="18"/>
  <c r="T22" i="18" s="1"/>
  <c r="AB22" i="18"/>
  <c r="X22" i="18"/>
  <c r="Y22" i="18" s="1"/>
  <c r="N19" i="19"/>
  <c r="O19" i="19" s="1"/>
  <c r="S19" i="19"/>
  <c r="T19" i="19" s="1"/>
  <c r="AB19" i="19"/>
  <c r="X19" i="19"/>
  <c r="Y19" i="19" s="1"/>
  <c r="Z18" i="13"/>
  <c r="AA18" i="13"/>
  <c r="N18" i="18"/>
  <c r="O18" i="18" s="1"/>
  <c r="X18" i="18"/>
  <c r="Y18" i="18" s="1"/>
  <c r="AB18" i="18"/>
  <c r="S18" i="18"/>
  <c r="T18" i="18" s="1"/>
  <c r="AA47" i="16"/>
  <c r="Z47" i="16"/>
  <c r="N47" i="15"/>
  <c r="O47" i="15" s="1"/>
  <c r="S47" i="15"/>
  <c r="T47" i="15" s="1"/>
  <c r="AB47" i="15"/>
  <c r="X47" i="15"/>
  <c r="Y47" i="15" s="1"/>
  <c r="AA47" i="17"/>
  <c r="Z47" i="17"/>
  <c r="N47" i="11"/>
  <c r="O47" i="11" s="1"/>
  <c r="S47" i="11"/>
  <c r="T47" i="11" s="1"/>
  <c r="AB47" i="11"/>
  <c r="X47" i="11"/>
  <c r="Y47" i="11" s="1"/>
  <c r="N30" i="10"/>
  <c r="O30" i="10" s="1"/>
  <c r="AB30" i="10"/>
  <c r="S30" i="10"/>
  <c r="T30" i="10" s="1"/>
  <c r="X30" i="10"/>
  <c r="Y30" i="10" s="1"/>
  <c r="AA17" i="17"/>
  <c r="Z17" i="17"/>
  <c r="X17" i="13"/>
  <c r="Y17" i="13" s="1"/>
  <c r="N17" i="13"/>
  <c r="O17" i="13" s="1"/>
  <c r="AB17" i="13"/>
  <c r="S17" i="13"/>
  <c r="T17" i="13" s="1"/>
  <c r="Z47" i="11"/>
  <c r="AA47" i="11"/>
  <c r="N44" i="9"/>
  <c r="O44" i="9" s="1"/>
  <c r="S44" i="9"/>
  <c r="T44" i="9" s="1"/>
  <c r="X44" i="9"/>
  <c r="Y44" i="9" s="1"/>
  <c r="AB44" i="9"/>
  <c r="N47" i="8"/>
  <c r="O47" i="8" s="1"/>
  <c r="S47" i="8"/>
  <c r="T47" i="8" s="1"/>
  <c r="AB47" i="8"/>
  <c r="X47" i="8"/>
  <c r="Y47" i="8" s="1"/>
  <c r="N44" i="8"/>
  <c r="O44" i="8" s="1"/>
  <c r="S44" i="8"/>
  <c r="T44" i="8" s="1"/>
  <c r="AB44" i="8"/>
  <c r="AA36" i="15"/>
  <c r="Z36" i="15"/>
  <c r="N33" i="9"/>
  <c r="O33" i="9" s="1"/>
  <c r="S33" i="9"/>
  <c r="T33" i="9" s="1"/>
  <c r="AB33" i="9"/>
  <c r="X33" i="9"/>
  <c r="Y33" i="9" s="1"/>
  <c r="N24" i="8"/>
  <c r="O24" i="8" s="1"/>
  <c r="AB24" i="8"/>
  <c r="X24" i="8"/>
  <c r="Y24" i="8" s="1"/>
  <c r="S24" i="8"/>
  <c r="T24" i="8" s="1"/>
  <c r="N20" i="8"/>
  <c r="O20" i="8" s="1"/>
  <c r="AB20" i="8"/>
  <c r="X20" i="8"/>
  <c r="Y20" i="8" s="1"/>
  <c r="S20" i="8"/>
  <c r="T20" i="8" s="1"/>
  <c r="N18" i="8"/>
  <c r="O18" i="8" s="1"/>
  <c r="AB18" i="8"/>
  <c r="Z60" i="9"/>
  <c r="AA60" i="9"/>
  <c r="AF60" i="9" s="1"/>
  <c r="Z52" i="9"/>
  <c r="AA52" i="9"/>
  <c r="S52" i="9"/>
  <c r="T52" i="9" s="1"/>
  <c r="AA50" i="9"/>
  <c r="Z50" i="9"/>
  <c r="AA60" i="13"/>
  <c r="Z60" i="13"/>
  <c r="AB50" i="19"/>
  <c r="X50" i="19"/>
  <c r="Y50" i="19" s="1"/>
  <c r="N50" i="19"/>
  <c r="O50" i="19" s="1"/>
  <c r="S50" i="19"/>
  <c r="T50" i="19" s="1"/>
  <c r="N53" i="18"/>
  <c r="O53" i="18" s="1"/>
  <c r="X53" i="18"/>
  <c r="Y53" i="18" s="1"/>
  <c r="S53" i="18"/>
  <c r="T53" i="18" s="1"/>
  <c r="AB53" i="18"/>
  <c r="N48" i="19"/>
  <c r="O48" i="19" s="1"/>
  <c r="AB48" i="19"/>
  <c r="S48" i="19"/>
  <c r="T48" i="19" s="1"/>
  <c r="X48" i="19"/>
  <c r="Y48" i="19" s="1"/>
  <c r="Z51" i="13"/>
  <c r="AA51" i="13"/>
  <c r="N46" i="19"/>
  <c r="O46" i="19" s="1"/>
  <c r="S46" i="19"/>
  <c r="T46" i="19" s="1"/>
  <c r="AB46" i="19"/>
  <c r="X46" i="19"/>
  <c r="Y46" i="19" s="1"/>
  <c r="S27" i="8"/>
  <c r="T27" i="8" s="1"/>
  <c r="X27" i="8"/>
  <c r="Y27" i="8" s="1"/>
  <c r="N32" i="10"/>
  <c r="O32" i="10" s="1"/>
  <c r="AB32" i="10"/>
  <c r="S32" i="10"/>
  <c r="T32" i="10" s="1"/>
  <c r="X32" i="10"/>
  <c r="Y32" i="10" s="1"/>
  <c r="Z15" i="11"/>
  <c r="AA15" i="11"/>
  <c r="N48" i="11"/>
  <c r="O48" i="11" s="1"/>
  <c r="S48" i="11"/>
  <c r="T48" i="11" s="1"/>
  <c r="X48" i="11"/>
  <c r="Y48" i="11" s="1"/>
  <c r="AB48" i="11"/>
  <c r="N26" i="10"/>
  <c r="O26" i="10" s="1"/>
  <c r="AB26" i="10"/>
  <c r="S26" i="10"/>
  <c r="T26" i="10" s="1"/>
  <c r="X26" i="10"/>
  <c r="Y26" i="10" s="1"/>
  <c r="N21" i="11"/>
  <c r="O21" i="11" s="1"/>
  <c r="S21" i="11"/>
  <c r="T21" i="11" s="1"/>
  <c r="AB21" i="11"/>
  <c r="X21" i="11"/>
  <c r="Y21" i="11" s="1"/>
  <c r="S18" i="8"/>
  <c r="T18" i="8" s="1"/>
  <c r="X18" i="8"/>
  <c r="Y18" i="8" s="1"/>
  <c r="S16" i="8"/>
  <c r="T16" i="8" s="1"/>
  <c r="X16" i="8"/>
  <c r="Y16" i="8" s="1"/>
  <c r="X46" i="16"/>
  <c r="Y46" i="16" s="1"/>
  <c r="N46" i="16"/>
  <c r="O46" i="16" s="1"/>
  <c r="S46" i="16"/>
  <c r="T46" i="16" s="1"/>
  <c r="AB46" i="16"/>
  <c r="S26" i="17"/>
  <c r="T26" i="17" s="1"/>
  <c r="AB26" i="17"/>
  <c r="N26" i="17"/>
  <c r="O26" i="17" s="1"/>
  <c r="X26" i="17"/>
  <c r="Y26" i="17" s="1"/>
  <c r="X26" i="16"/>
  <c r="Y26" i="16" s="1"/>
  <c r="S26" i="16"/>
  <c r="T26" i="16" s="1"/>
  <c r="N26" i="16"/>
  <c r="O26" i="16" s="1"/>
  <c r="AB26" i="16"/>
  <c r="S22" i="17"/>
  <c r="T22" i="17" s="1"/>
  <c r="AB22" i="17"/>
  <c r="X22" i="17"/>
  <c r="Y22" i="17" s="1"/>
  <c r="N22" i="17"/>
  <c r="O22" i="17" s="1"/>
  <c r="X22" i="16"/>
  <c r="Y22" i="16" s="1"/>
  <c r="N22" i="16"/>
  <c r="O22" i="16" s="1"/>
  <c r="S22" i="16"/>
  <c r="T22" i="16" s="1"/>
  <c r="AB22" i="16"/>
  <c r="AA46" i="13"/>
  <c r="Z46" i="13"/>
  <c r="N41" i="19"/>
  <c r="O41" i="19" s="1"/>
  <c r="S41" i="19"/>
  <c r="T41" i="19" s="1"/>
  <c r="AB41" i="19"/>
  <c r="X41" i="19"/>
  <c r="Y41" i="19" s="1"/>
  <c r="N39" i="19"/>
  <c r="O39" i="19" s="1"/>
  <c r="S39" i="19"/>
  <c r="T39" i="19" s="1"/>
  <c r="AB39" i="19"/>
  <c r="X39" i="19"/>
  <c r="Y39" i="19" s="1"/>
  <c r="N33" i="19"/>
  <c r="O33" i="19" s="1"/>
  <c r="S33" i="19"/>
  <c r="T33" i="19" s="1"/>
  <c r="AB33" i="19"/>
  <c r="X33" i="19"/>
  <c r="Y33" i="19" s="1"/>
  <c r="N38" i="18"/>
  <c r="O38" i="18" s="1"/>
  <c r="X38" i="18"/>
  <c r="Y38" i="18" s="1"/>
  <c r="AB38" i="18"/>
  <c r="S38" i="18"/>
  <c r="T38" i="18" s="1"/>
  <c r="Z34" i="13"/>
  <c r="AA34" i="13"/>
  <c r="N29" i="19"/>
  <c r="O29" i="19" s="1"/>
  <c r="S29" i="19"/>
  <c r="T29" i="19" s="1"/>
  <c r="AB29" i="19"/>
  <c r="X29" i="19"/>
  <c r="Y29" i="19" s="1"/>
  <c r="N23" i="19"/>
  <c r="O23" i="19" s="1"/>
  <c r="S23" i="19"/>
  <c r="T23" i="19" s="1"/>
  <c r="AB23" i="19"/>
  <c r="X23" i="19"/>
  <c r="Y23" i="19" s="1"/>
  <c r="Z20" i="13"/>
  <c r="AA20" i="13"/>
  <c r="N16" i="18"/>
  <c r="O16" i="18" s="1"/>
  <c r="X16" i="18"/>
  <c r="Y16" i="18" s="1"/>
  <c r="S16" i="18"/>
  <c r="T16" i="18" s="1"/>
  <c r="AB16" i="18"/>
  <c r="N14" i="18"/>
  <c r="S14" i="18"/>
  <c r="T14" i="18" s="1"/>
  <c r="AB14" i="18"/>
  <c r="X14" i="18"/>
  <c r="S29" i="8"/>
  <c r="T29" i="8" s="1"/>
  <c r="X29" i="8"/>
  <c r="Y29" i="8" s="1"/>
  <c r="Z42" i="17"/>
  <c r="AA42" i="17"/>
  <c r="N42" i="11"/>
  <c r="O42" i="11" s="1"/>
  <c r="X42" i="11"/>
  <c r="Y42" i="11" s="1"/>
  <c r="AB42" i="11"/>
  <c r="S42" i="11"/>
  <c r="T42" i="11" s="1"/>
  <c r="N42" i="10"/>
  <c r="O42" i="10" s="1"/>
  <c r="AB42" i="10"/>
  <c r="S42" i="10"/>
  <c r="T42" i="10" s="1"/>
  <c r="X42" i="10"/>
  <c r="Y42" i="10" s="1"/>
  <c r="Z40" i="17"/>
  <c r="AA40" i="17"/>
  <c r="N40" i="11"/>
  <c r="O40" i="11" s="1"/>
  <c r="S40" i="11"/>
  <c r="T40" i="11" s="1"/>
  <c r="X40" i="11"/>
  <c r="Y40" i="11" s="1"/>
  <c r="AB40" i="11"/>
  <c r="AA36" i="17"/>
  <c r="Z36" i="17"/>
  <c r="N36" i="11"/>
  <c r="O36" i="11" s="1"/>
  <c r="S36" i="11"/>
  <c r="T36" i="11" s="1"/>
  <c r="X36" i="11"/>
  <c r="Y36" i="11" s="1"/>
  <c r="AB36" i="11"/>
  <c r="AA32" i="17"/>
  <c r="Z32" i="17"/>
  <c r="S30" i="13"/>
  <c r="T30" i="13" s="1"/>
  <c r="N30" i="13"/>
  <c r="O30" i="13" s="1"/>
  <c r="X30" i="13"/>
  <c r="Y30" i="13" s="1"/>
  <c r="AB30" i="13"/>
  <c r="AA25" i="17"/>
  <c r="S25" i="17"/>
  <c r="T25" i="17" s="1"/>
  <c r="Z25" i="17"/>
  <c r="N25" i="11"/>
  <c r="O25" i="11" s="1"/>
  <c r="S25" i="11"/>
  <c r="T25" i="11" s="1"/>
  <c r="AB25" i="11"/>
  <c r="X25" i="11"/>
  <c r="Y25" i="11" s="1"/>
  <c r="T15" i="12"/>
  <c r="T65" i="12" s="1"/>
  <c r="J19" i="2" s="1"/>
  <c r="S65" i="12"/>
  <c r="AA51" i="15"/>
  <c r="Z51" i="15"/>
  <c r="N36" i="8"/>
  <c r="O36" i="8" s="1"/>
  <c r="AB36" i="8"/>
  <c r="X36" i="8"/>
  <c r="Y36" i="8" s="1"/>
  <c r="S36" i="8"/>
  <c r="T36" i="8" s="1"/>
  <c r="Z24" i="11"/>
  <c r="AA24" i="11"/>
  <c r="AA24" i="15"/>
  <c r="Z24" i="15"/>
  <c r="AA20" i="15"/>
  <c r="Z20" i="15"/>
  <c r="AA18" i="15"/>
  <c r="Z18" i="15"/>
  <c r="N33" i="8"/>
  <c r="O33" i="8" s="1"/>
  <c r="AB33" i="8"/>
  <c r="X33" i="8"/>
  <c r="Y33" i="8" s="1"/>
  <c r="S33" i="8"/>
  <c r="T33" i="8" s="1"/>
  <c r="N15" i="8"/>
  <c r="O15" i="8" s="1"/>
  <c r="AB15" i="8"/>
  <c r="D66" i="8"/>
  <c r="D88" i="8" s="1"/>
  <c r="X15" i="8"/>
  <c r="S15" i="8"/>
  <c r="T15" i="8" s="1"/>
  <c r="Z50" i="17"/>
  <c r="AA50" i="17"/>
  <c r="N50" i="11"/>
  <c r="O50" i="11" s="1"/>
  <c r="X50" i="11"/>
  <c r="Y50" i="11" s="1"/>
  <c r="AB50" i="11"/>
  <c r="S50" i="11"/>
  <c r="T50" i="11" s="1"/>
  <c r="N50" i="10"/>
  <c r="O50" i="10" s="1"/>
  <c r="AB50" i="10"/>
  <c r="S50" i="10"/>
  <c r="T50" i="10" s="1"/>
  <c r="X50" i="10"/>
  <c r="Y50" i="10" s="1"/>
  <c r="N39" i="13"/>
  <c r="O39" i="13" s="1"/>
  <c r="X39" i="13"/>
  <c r="Y39" i="13" s="1"/>
  <c r="AB39" i="13"/>
  <c r="S39" i="13"/>
  <c r="T39" i="13" s="1"/>
  <c r="Z29" i="17"/>
  <c r="AA29" i="17"/>
  <c r="X29" i="13"/>
  <c r="Y29" i="13" s="1"/>
  <c r="N29" i="13"/>
  <c r="O29" i="13" s="1"/>
  <c r="AB29" i="13"/>
  <c r="S29" i="13"/>
  <c r="T29" i="13" s="1"/>
  <c r="AA32" i="15"/>
  <c r="Z32" i="15"/>
  <c r="O61" i="8"/>
  <c r="S61" i="8"/>
  <c r="T61" i="8" s="1"/>
  <c r="X42" i="16"/>
  <c r="Y42" i="16" s="1"/>
  <c r="S42" i="16"/>
  <c r="T42" i="16" s="1"/>
  <c r="N42" i="16"/>
  <c r="O42" i="16" s="1"/>
  <c r="AB42" i="16"/>
  <c r="S38" i="17"/>
  <c r="T38" i="17" s="1"/>
  <c r="AB38" i="17"/>
  <c r="X38" i="17"/>
  <c r="Y38" i="17" s="1"/>
  <c r="N38" i="17"/>
  <c r="O38" i="17" s="1"/>
  <c r="X38" i="16"/>
  <c r="Y38" i="16" s="1"/>
  <c r="N38" i="16"/>
  <c r="O38" i="16" s="1"/>
  <c r="S38" i="16"/>
  <c r="T38" i="16" s="1"/>
  <c r="AB38" i="16"/>
  <c r="S34" i="17"/>
  <c r="T34" i="17" s="1"/>
  <c r="AB34" i="17"/>
  <c r="N34" i="17"/>
  <c r="O34" i="17" s="1"/>
  <c r="X34" i="17"/>
  <c r="Y34" i="17" s="1"/>
  <c r="X34" i="16"/>
  <c r="Y34" i="16" s="1"/>
  <c r="N34" i="16"/>
  <c r="O34" i="16" s="1"/>
  <c r="S34" i="16"/>
  <c r="T34" i="16" s="1"/>
  <c r="AB34" i="16"/>
  <c r="S30" i="17"/>
  <c r="T30" i="17" s="1"/>
  <c r="AB30" i="17"/>
  <c r="X30" i="17"/>
  <c r="Y30" i="17" s="1"/>
  <c r="N30" i="17"/>
  <c r="O30" i="17" s="1"/>
  <c r="X30" i="16"/>
  <c r="Y30" i="16" s="1"/>
  <c r="N30" i="16"/>
  <c r="O30" i="16" s="1"/>
  <c r="S30" i="16"/>
  <c r="T30" i="16" s="1"/>
  <c r="AB30" i="16"/>
  <c r="X18" i="16"/>
  <c r="Y18" i="16" s="1"/>
  <c r="N18" i="16"/>
  <c r="O18" i="16" s="1"/>
  <c r="S18" i="16"/>
  <c r="T18" i="16" s="1"/>
  <c r="AB18" i="16"/>
  <c r="X48" i="18"/>
  <c r="Y48" i="18" s="1"/>
  <c r="AB48" i="18"/>
  <c r="N48" i="18"/>
  <c r="O48" i="18" s="1"/>
  <c r="S48" i="18"/>
  <c r="T48" i="18" s="1"/>
  <c r="N43" i="19"/>
  <c r="O43" i="19" s="1"/>
  <c r="S43" i="19"/>
  <c r="T43" i="19" s="1"/>
  <c r="X43" i="19"/>
  <c r="Y43" i="19" s="1"/>
  <c r="AB43" i="19"/>
  <c r="Z42" i="13"/>
  <c r="AA42" i="13"/>
  <c r="N37" i="19"/>
  <c r="O37" i="19" s="1"/>
  <c r="S37" i="19"/>
  <c r="T37" i="19" s="1"/>
  <c r="AB37" i="19"/>
  <c r="X37" i="19"/>
  <c r="Y37" i="19" s="1"/>
  <c r="X40" i="18"/>
  <c r="Y40" i="18" s="1"/>
  <c r="AB40" i="18"/>
  <c r="N40" i="18"/>
  <c r="O40" i="18" s="1"/>
  <c r="S40" i="18"/>
  <c r="T40" i="18" s="1"/>
  <c r="N35" i="19"/>
  <c r="O35" i="19" s="1"/>
  <c r="S35" i="19"/>
  <c r="T35" i="19" s="1"/>
  <c r="AB35" i="19"/>
  <c r="X35" i="19"/>
  <c r="Y35" i="19" s="1"/>
  <c r="N31" i="19"/>
  <c r="O31" i="19" s="1"/>
  <c r="S31" i="19"/>
  <c r="T31" i="19" s="1"/>
  <c r="AB31" i="19"/>
  <c r="X31" i="19"/>
  <c r="Y31" i="19" s="1"/>
  <c r="N32" i="18"/>
  <c r="O32" i="18" s="1"/>
  <c r="X32" i="18"/>
  <c r="Y32" i="18" s="1"/>
  <c r="S32" i="18"/>
  <c r="T32" i="18" s="1"/>
  <c r="AB32" i="18"/>
  <c r="N27" i="19"/>
  <c r="O27" i="19" s="1"/>
  <c r="S27" i="19"/>
  <c r="T27" i="19" s="1"/>
  <c r="AB27" i="19"/>
  <c r="X27" i="19"/>
  <c r="Y27" i="19" s="1"/>
  <c r="AA30" i="13"/>
  <c r="Z30" i="13"/>
  <c r="S25" i="19"/>
  <c r="T25" i="19" s="1"/>
  <c r="AB25" i="19"/>
  <c r="N25" i="19"/>
  <c r="O25" i="19" s="1"/>
  <c r="X25" i="19"/>
  <c r="Y25" i="19" s="1"/>
  <c r="Z26" i="13"/>
  <c r="AA26" i="13"/>
  <c r="N24" i="18"/>
  <c r="O24" i="18" s="1"/>
  <c r="S24" i="18"/>
  <c r="T24" i="18" s="1"/>
  <c r="AB24" i="18"/>
  <c r="X24" i="18"/>
  <c r="Y24" i="18" s="1"/>
  <c r="Z22" i="13"/>
  <c r="AA22" i="13"/>
  <c r="N16" i="19"/>
  <c r="O16" i="19" s="1"/>
  <c r="S16" i="19"/>
  <c r="T16" i="19" s="1"/>
  <c r="AB16" i="19"/>
  <c r="X16" i="19"/>
  <c r="Y16" i="19" s="1"/>
  <c r="M89" i="5"/>
  <c r="N86" i="5" s="1"/>
  <c r="X47" i="14"/>
  <c r="Y47" i="14" s="1"/>
  <c r="N47" i="14"/>
  <c r="O47" i="14" s="1"/>
  <c r="S47" i="14"/>
  <c r="T47" i="14" s="1"/>
  <c r="AB47" i="14"/>
  <c r="N47" i="13"/>
  <c r="O47" i="13" s="1"/>
  <c r="X47" i="13"/>
  <c r="Y47" i="13" s="1"/>
  <c r="S47" i="13"/>
  <c r="T47" i="13" s="1"/>
  <c r="AB47" i="13"/>
  <c r="N22" i="10"/>
  <c r="O22" i="10" s="1"/>
  <c r="AB22" i="10"/>
  <c r="S22" i="10"/>
  <c r="T22" i="10" s="1"/>
  <c r="X22" i="10"/>
  <c r="Y22" i="10" s="1"/>
  <c r="N17" i="11"/>
  <c r="O17" i="11" s="1"/>
  <c r="S17" i="11"/>
  <c r="T17" i="11" s="1"/>
  <c r="AB17" i="11"/>
  <c r="X17" i="11"/>
  <c r="Y17" i="11" s="1"/>
  <c r="T15" i="24"/>
  <c r="T65" i="24" s="1"/>
  <c r="J15" i="2" s="1"/>
  <c r="S65" i="24"/>
  <c r="AD42" i="24" s="1"/>
  <c r="O65" i="24"/>
  <c r="L15" i="2" s="1"/>
  <c r="Z47" i="15"/>
  <c r="AA47" i="15"/>
  <c r="AA36" i="11"/>
  <c r="Z36" i="11"/>
  <c r="N55" i="18"/>
  <c r="O55" i="18" s="1"/>
  <c r="X55" i="18"/>
  <c r="Y55" i="18" s="1"/>
  <c r="AB55" i="18"/>
  <c r="S55" i="18"/>
  <c r="T55" i="18" s="1"/>
  <c r="Z53" i="13"/>
  <c r="AA53" i="13"/>
  <c r="N51" i="18"/>
  <c r="O51" i="18" s="1"/>
  <c r="AB51" i="18"/>
  <c r="S51" i="18"/>
  <c r="T51" i="18" s="1"/>
  <c r="X51" i="18"/>
  <c r="Y51" i="18" s="1"/>
  <c r="N41" i="8"/>
  <c r="O41" i="8" s="1"/>
  <c r="AB41" i="8"/>
  <c r="X41" i="8"/>
  <c r="Y41" i="8" s="1"/>
  <c r="S41" i="8"/>
  <c r="T41" i="8" s="1"/>
  <c r="Y13" i="17"/>
  <c r="N50" i="8"/>
  <c r="O50" i="8" s="1"/>
  <c r="S50" i="8"/>
  <c r="T50" i="8" s="1"/>
  <c r="AB50" i="8"/>
  <c r="X50" i="8"/>
  <c r="Y50" i="8" s="1"/>
  <c r="N45" i="10"/>
  <c r="O45" i="10" s="1"/>
  <c r="S45" i="10"/>
  <c r="T45" i="10" s="1"/>
  <c r="AB45" i="10"/>
  <c r="N43" i="10"/>
  <c r="O43" i="10" s="1"/>
  <c r="AB43" i="10"/>
  <c r="N34" i="10"/>
  <c r="O34" i="10" s="1"/>
  <c r="AB34" i="10"/>
  <c r="S34" i="10"/>
  <c r="T34" i="10" s="1"/>
  <c r="X34" i="10"/>
  <c r="Y34" i="10" s="1"/>
  <c r="N29" i="10"/>
  <c r="O29" i="10" s="1"/>
  <c r="S29" i="10"/>
  <c r="T29" i="10" s="1"/>
  <c r="AB29" i="10"/>
  <c r="N27" i="10"/>
  <c r="O27" i="10" s="1"/>
  <c r="X27" i="10"/>
  <c r="Y27" i="10" s="1"/>
  <c r="AB27" i="10"/>
  <c r="S27" i="10"/>
  <c r="T27" i="10" s="1"/>
  <c r="AA15" i="15"/>
  <c r="Z15" i="15"/>
  <c r="Z48" i="17"/>
  <c r="AA48" i="17"/>
  <c r="S48" i="13"/>
  <c r="T48" i="13" s="1"/>
  <c r="N48" i="13"/>
  <c r="O48" i="13" s="1"/>
  <c r="AB48" i="13"/>
  <c r="X48" i="13"/>
  <c r="Y48" i="13" s="1"/>
  <c r="Z21" i="17"/>
  <c r="AA21" i="17"/>
  <c r="X21" i="13"/>
  <c r="Y21" i="13" s="1"/>
  <c r="N21" i="13"/>
  <c r="O21" i="13" s="1"/>
  <c r="AB21" i="13"/>
  <c r="S21" i="13"/>
  <c r="T21" i="13" s="1"/>
  <c r="N32" i="8"/>
  <c r="O32" i="8" s="1"/>
  <c r="AB32" i="8"/>
  <c r="X32" i="8"/>
  <c r="Y32" i="8" s="1"/>
  <c r="S32" i="8"/>
  <c r="T32" i="8" s="1"/>
  <c r="N28" i="8"/>
  <c r="O28" i="8" s="1"/>
  <c r="AB28" i="8"/>
  <c r="N40" i="10"/>
  <c r="O40" i="10" s="1"/>
  <c r="AB40" i="10"/>
  <c r="S40" i="10"/>
  <c r="T40" i="10" s="1"/>
  <c r="X40" i="10"/>
  <c r="Y40" i="10" s="1"/>
  <c r="N39" i="10"/>
  <c r="O39" i="10" s="1"/>
  <c r="AB39" i="10"/>
  <c r="N25" i="10"/>
  <c r="O25" i="10" s="1"/>
  <c r="AB25" i="10"/>
  <c r="X25" i="10"/>
  <c r="Y25" i="10" s="1"/>
  <c r="S25" i="10"/>
  <c r="T25" i="10" s="1"/>
  <c r="N15" i="10"/>
  <c r="O15" i="10" s="1"/>
  <c r="AB15" i="10"/>
  <c r="X15" i="10"/>
  <c r="Y15" i="10" s="1"/>
  <c r="S15" i="10"/>
  <c r="T15" i="10" s="1"/>
  <c r="N16" i="8"/>
  <c r="O16" i="8" s="1"/>
  <c r="AB16" i="8"/>
  <c r="AA62" i="24"/>
  <c r="N55" i="8"/>
  <c r="O55" i="8" s="1"/>
  <c r="AB55" i="8"/>
  <c r="S55" i="8"/>
  <c r="T55" i="8" s="1"/>
  <c r="X46" i="17"/>
  <c r="Y46" i="17" s="1"/>
  <c r="S46" i="17"/>
  <c r="T46" i="17" s="1"/>
  <c r="N46" i="17"/>
  <c r="O46" i="17" s="1"/>
  <c r="AB46" i="17"/>
  <c r="AB40" i="17"/>
  <c r="S40" i="17"/>
  <c r="T40" i="17" s="1"/>
  <c r="N40" i="17"/>
  <c r="O40" i="17" s="1"/>
  <c r="X40" i="17"/>
  <c r="Y40" i="17" s="1"/>
  <c r="N40" i="16"/>
  <c r="O40" i="16" s="1"/>
  <c r="S40" i="16"/>
  <c r="T40" i="16" s="1"/>
  <c r="AB40" i="16"/>
  <c r="X40" i="16"/>
  <c r="Y40" i="16" s="1"/>
  <c r="N36" i="17"/>
  <c r="O36" i="17" s="1"/>
  <c r="S36" i="17"/>
  <c r="T36" i="17" s="1"/>
  <c r="AB36" i="17"/>
  <c r="X36" i="17"/>
  <c r="Y36" i="17" s="1"/>
  <c r="N36" i="16"/>
  <c r="O36" i="16" s="1"/>
  <c r="AB36" i="16"/>
  <c r="S36" i="16"/>
  <c r="T36" i="16" s="1"/>
  <c r="X36" i="16"/>
  <c r="Y36" i="16" s="1"/>
  <c r="N32" i="17"/>
  <c r="O32" i="17" s="1"/>
  <c r="S32" i="17"/>
  <c r="T32" i="17" s="1"/>
  <c r="AB32" i="17"/>
  <c r="X32" i="17"/>
  <c r="Y32" i="17" s="1"/>
  <c r="N32" i="16"/>
  <c r="O32" i="16" s="1"/>
  <c r="X32" i="16"/>
  <c r="Y32" i="16" s="1"/>
  <c r="AB32" i="16"/>
  <c r="S32" i="16"/>
  <c r="T32" i="16" s="1"/>
  <c r="N28" i="17"/>
  <c r="O28" i="17" s="1"/>
  <c r="S28" i="17"/>
  <c r="T28" i="17" s="1"/>
  <c r="AB28" i="17"/>
  <c r="X28" i="17"/>
  <c r="Y28" i="17" s="1"/>
  <c r="N28" i="16"/>
  <c r="O28" i="16" s="1"/>
  <c r="AB28" i="16"/>
  <c r="S28" i="16"/>
  <c r="T28" i="16" s="1"/>
  <c r="X28" i="16"/>
  <c r="Y28" i="16" s="1"/>
  <c r="N16" i="17"/>
  <c r="O16" i="17" s="1"/>
  <c r="S16" i="17"/>
  <c r="T16" i="17" s="1"/>
  <c r="AB16" i="17"/>
  <c r="X16" i="17"/>
  <c r="Y16" i="17" s="1"/>
  <c r="N16" i="16"/>
  <c r="O16" i="16" s="1"/>
  <c r="X16" i="16"/>
  <c r="Y16" i="16" s="1"/>
  <c r="AB16" i="16"/>
  <c r="S16" i="16"/>
  <c r="T16" i="16" s="1"/>
  <c r="N46" i="18"/>
  <c r="O46" i="18" s="1"/>
  <c r="S46" i="18"/>
  <c r="T46" i="18" s="1"/>
  <c r="AB46" i="18"/>
  <c r="X46" i="18"/>
  <c r="Y46" i="18" s="1"/>
  <c r="AB44" i="18"/>
  <c r="N44" i="18"/>
  <c r="O44" i="18" s="1"/>
  <c r="X44" i="18"/>
  <c r="Y44" i="18" s="1"/>
  <c r="S44" i="18"/>
  <c r="T44" i="18" s="1"/>
  <c r="AA44" i="13"/>
  <c r="Z44" i="13"/>
  <c r="AA38" i="13"/>
  <c r="Z38" i="13"/>
  <c r="N34" i="18"/>
  <c r="O34" i="18" s="1"/>
  <c r="S34" i="18"/>
  <c r="T34" i="18" s="1"/>
  <c r="AB34" i="18"/>
  <c r="X34" i="18"/>
  <c r="Y34" i="18" s="1"/>
  <c r="X28" i="18"/>
  <c r="Y28" i="18" s="1"/>
  <c r="AB28" i="18"/>
  <c r="N28" i="18"/>
  <c r="O28" i="18" s="1"/>
  <c r="S28" i="18"/>
  <c r="T28" i="18" s="1"/>
  <c r="Z28" i="13"/>
  <c r="AA28" i="13"/>
  <c r="AB20" i="18"/>
  <c r="S20" i="18"/>
  <c r="T20" i="18" s="1"/>
  <c r="N20" i="18"/>
  <c r="O20" i="18" s="1"/>
  <c r="X20" i="18"/>
  <c r="Y20" i="18" s="1"/>
  <c r="Z16" i="13"/>
  <c r="AA16" i="13"/>
  <c r="N14" i="19"/>
  <c r="O14" i="19" s="1"/>
  <c r="S14" i="19"/>
  <c r="T14" i="19" s="1"/>
  <c r="AB14" i="19"/>
  <c r="X14" i="19"/>
  <c r="Y14" i="19" s="1"/>
  <c r="AA14" i="13"/>
  <c r="Z14" i="13"/>
  <c r="S13" i="19"/>
  <c r="T13" i="19" s="1"/>
  <c r="AB13" i="19"/>
  <c r="N13" i="19"/>
  <c r="O13" i="19" s="1"/>
  <c r="X13" i="19"/>
  <c r="AA46" i="9"/>
  <c r="Z46" i="9"/>
  <c r="AA44" i="9"/>
  <c r="Z44" i="9"/>
  <c r="AA34" i="9"/>
  <c r="Z34" i="9"/>
  <c r="Z26" i="9"/>
  <c r="AA26" i="9"/>
  <c r="N48" i="10"/>
  <c r="O48" i="10" s="1"/>
  <c r="AB48" i="10"/>
  <c r="S48" i="10"/>
  <c r="T48" i="10" s="1"/>
  <c r="X48" i="10"/>
  <c r="Y48" i="10" s="1"/>
  <c r="N48" i="8"/>
  <c r="O48" i="8" s="1"/>
  <c r="S48" i="8"/>
  <c r="T48" i="8" s="1"/>
  <c r="AB48" i="8"/>
  <c r="X48" i="8"/>
  <c r="Y48" i="8" s="1"/>
  <c r="N34" i="8"/>
  <c r="O34" i="8" s="1"/>
  <c r="AB34" i="8"/>
  <c r="X34" i="8"/>
  <c r="Y34" i="8" s="1"/>
  <c r="S34" i="8"/>
  <c r="T34" i="8" s="1"/>
  <c r="N29" i="8"/>
  <c r="O29" i="8" s="1"/>
  <c r="AB29" i="8"/>
  <c r="N47" i="10"/>
  <c r="O47" i="10" s="1"/>
  <c r="AB47" i="10"/>
  <c r="X47" i="10"/>
  <c r="Y47" i="10" s="1"/>
  <c r="S47" i="10"/>
  <c r="T47" i="10" s="1"/>
  <c r="N36" i="10"/>
  <c r="O36" i="10" s="1"/>
  <c r="S36" i="10"/>
  <c r="T36" i="10" s="1"/>
  <c r="AB36" i="10"/>
  <c r="X36" i="10"/>
  <c r="Y36" i="10" s="1"/>
  <c r="N17" i="10"/>
  <c r="O17" i="10" s="1"/>
  <c r="AB17" i="10"/>
  <c r="X17" i="10"/>
  <c r="Y17" i="10" s="1"/>
  <c r="S17" i="10"/>
  <c r="T17" i="10" s="1"/>
  <c r="Z18" i="9"/>
  <c r="AA18" i="9"/>
  <c r="S42" i="13"/>
  <c r="T42" i="13" s="1"/>
  <c r="X42" i="13"/>
  <c r="Y42" i="13" s="1"/>
  <c r="N42" i="13"/>
  <c r="O42" i="13" s="1"/>
  <c r="AB42" i="13"/>
  <c r="S40" i="13"/>
  <c r="T40" i="13" s="1"/>
  <c r="N40" i="13"/>
  <c r="O40" i="13" s="1"/>
  <c r="AB40" i="13"/>
  <c r="X40" i="13"/>
  <c r="Y40" i="13" s="1"/>
  <c r="S36" i="13"/>
  <c r="T36" i="13" s="1"/>
  <c r="N36" i="13"/>
  <c r="O36" i="13" s="1"/>
  <c r="AB36" i="13"/>
  <c r="X36" i="13"/>
  <c r="Y36" i="13" s="1"/>
  <c r="S32" i="13"/>
  <c r="T32" i="13" s="1"/>
  <c r="N32" i="13"/>
  <c r="O32" i="13" s="1"/>
  <c r="AB32" i="13"/>
  <c r="X32" i="13"/>
  <c r="Y32" i="13" s="1"/>
  <c r="N32" i="11"/>
  <c r="O32" i="11" s="1"/>
  <c r="S32" i="11"/>
  <c r="T32" i="11" s="1"/>
  <c r="X32" i="11"/>
  <c r="Y32" i="11" s="1"/>
  <c r="AB32" i="11"/>
  <c r="Z30" i="17"/>
  <c r="AA30" i="17"/>
  <c r="N30" i="11"/>
  <c r="O30" i="11" s="1"/>
  <c r="S30" i="11"/>
  <c r="T30" i="11" s="1"/>
  <c r="X30" i="11"/>
  <c r="Y30" i="11" s="1"/>
  <c r="AB30" i="11"/>
  <c r="X25" i="13"/>
  <c r="Y25" i="13" s="1"/>
  <c r="N25" i="13"/>
  <c r="O25" i="13" s="1"/>
  <c r="AB25" i="13"/>
  <c r="S25" i="13"/>
  <c r="T25" i="13" s="1"/>
  <c r="AA51" i="11"/>
  <c r="Z51" i="11"/>
  <c r="N48" i="9"/>
  <c r="O48" i="9" s="1"/>
  <c r="AB48" i="9"/>
  <c r="S48" i="9"/>
  <c r="T48" i="9" s="1"/>
  <c r="X48" i="9"/>
  <c r="Y48" i="9" s="1"/>
  <c r="N51" i="8"/>
  <c r="O51" i="8" s="1"/>
  <c r="S51" i="8"/>
  <c r="T51" i="8" s="1"/>
  <c r="AB51" i="8"/>
  <c r="X51" i="8"/>
  <c r="Y51" i="8" s="1"/>
  <c r="N21" i="9"/>
  <c r="O21" i="9" s="1"/>
  <c r="S21" i="9"/>
  <c r="T21" i="9" s="1"/>
  <c r="X21" i="9"/>
  <c r="Y21" i="9" s="1"/>
  <c r="AB21" i="9"/>
  <c r="Z20" i="11"/>
  <c r="AA20" i="11"/>
  <c r="N17" i="9"/>
  <c r="O17" i="9" s="1"/>
  <c r="S17" i="9"/>
  <c r="T17" i="9" s="1"/>
  <c r="X17" i="9"/>
  <c r="Y17" i="9" s="1"/>
  <c r="AB17" i="9"/>
  <c r="Z18" i="11"/>
  <c r="AA18" i="11"/>
  <c r="N15" i="9"/>
  <c r="O15" i="9" s="1"/>
  <c r="AB15" i="9"/>
  <c r="S15" i="9"/>
  <c r="T15" i="9" s="1"/>
  <c r="X15" i="9"/>
  <c r="Y15" i="9" s="1"/>
  <c r="Z48" i="9"/>
  <c r="AA48" i="9"/>
  <c r="S50" i="13"/>
  <c r="T50" i="13" s="1"/>
  <c r="X50" i="13"/>
  <c r="Y50" i="13" s="1"/>
  <c r="N50" i="13"/>
  <c r="O50" i="13" s="1"/>
  <c r="AB50" i="13"/>
  <c r="AA39" i="17"/>
  <c r="Z39" i="17"/>
  <c r="N39" i="11"/>
  <c r="O39" i="11" s="1"/>
  <c r="S39" i="11"/>
  <c r="T39" i="11" s="1"/>
  <c r="AB39" i="11"/>
  <c r="X39" i="11"/>
  <c r="Y39" i="11" s="1"/>
  <c r="N29" i="11"/>
  <c r="O29" i="11" s="1"/>
  <c r="S29" i="11"/>
  <c r="T29" i="11" s="1"/>
  <c r="AB29" i="11"/>
  <c r="X29" i="11"/>
  <c r="Y29" i="11" s="1"/>
  <c r="N18" i="10"/>
  <c r="O18" i="10" s="1"/>
  <c r="AB18" i="10"/>
  <c r="S18" i="10"/>
  <c r="T18" i="10" s="1"/>
  <c r="AA32" i="11"/>
  <c r="Z32" i="11"/>
  <c r="N29" i="9"/>
  <c r="O29" i="9" s="1"/>
  <c r="S29" i="9"/>
  <c r="T29" i="9" s="1"/>
  <c r="AB29" i="9"/>
  <c r="X29" i="9"/>
  <c r="Y29" i="9" s="1"/>
  <c r="N18" i="13"/>
  <c r="O18" i="13" s="1"/>
  <c r="AB15" i="13"/>
  <c r="X41" i="9"/>
  <c r="Y41" i="9" s="1"/>
  <c r="X30" i="9"/>
  <c r="Y30" i="9" s="1"/>
  <c r="X61" i="8"/>
  <c r="Y61" i="8" s="1"/>
  <c r="X29" i="10"/>
  <c r="Y29" i="10" s="1"/>
  <c r="O65" i="12"/>
  <c r="X43" i="10"/>
  <c r="Y43" i="10" s="1"/>
  <c r="X39" i="10"/>
  <c r="Y39" i="10" s="1"/>
  <c r="X28" i="8"/>
  <c r="Y28" i="8" s="1"/>
  <c r="S50" i="9"/>
  <c r="T50" i="9" s="1"/>
  <c r="Y31" i="16"/>
  <c r="Y45" i="14"/>
  <c r="Y13" i="9"/>
  <c r="F14" i="28"/>
  <c r="F30" i="28" s="1"/>
  <c r="D22" i="2"/>
  <c r="E14" i="28" s="1"/>
  <c r="E22" i="2"/>
  <c r="G14" i="28" s="1"/>
  <c r="Y15" i="13"/>
  <c r="F10" i="28"/>
  <c r="F26" i="28" s="1"/>
  <c r="E11" i="2"/>
  <c r="D11" i="2"/>
  <c r="D25" i="2"/>
  <c r="E25" i="2"/>
  <c r="F15" i="28" l="1"/>
  <c r="I10" i="28" s="1"/>
  <c r="F31" i="28"/>
  <c r="N93" i="2"/>
  <c r="M93" i="2"/>
  <c r="X66" i="18"/>
  <c r="AI46" i="18" s="1"/>
  <c r="Q59" i="12"/>
  <c r="Z59" i="12"/>
  <c r="Y59" i="12"/>
  <c r="Z59" i="24"/>
  <c r="Q59" i="24"/>
  <c r="Y59" i="24"/>
  <c r="R59" i="24"/>
  <c r="G49" i="2"/>
  <c r="G51" i="2"/>
  <c r="B143" i="25" s="1"/>
  <c r="AZ143" i="25" s="1"/>
  <c r="E132" i="25"/>
  <c r="E137" i="25"/>
  <c r="E140" i="25"/>
  <c r="E141" i="25"/>
  <c r="E138" i="25"/>
  <c r="E139" i="25"/>
  <c r="E142" i="25"/>
  <c r="E143" i="25"/>
  <c r="E108" i="25"/>
  <c r="O66" i="8"/>
  <c r="O60" i="19"/>
  <c r="O61" i="19"/>
  <c r="T61" i="19"/>
  <c r="L12" i="2" s="1"/>
  <c r="O63" i="17"/>
  <c r="E109" i="25"/>
  <c r="E135" i="25"/>
  <c r="E134" i="25"/>
  <c r="E119" i="25"/>
  <c r="E118" i="25"/>
  <c r="E123" i="25"/>
  <c r="E122" i="25"/>
  <c r="E111" i="25"/>
  <c r="E127" i="25"/>
  <c r="E110" i="25"/>
  <c r="E126" i="25"/>
  <c r="E115" i="25"/>
  <c r="E131" i="25"/>
  <c r="E114" i="25"/>
  <c r="E130" i="25"/>
  <c r="E113" i="25"/>
  <c r="E121" i="25"/>
  <c r="E129" i="25"/>
  <c r="E112" i="25"/>
  <c r="E120" i="25"/>
  <c r="E128" i="25"/>
  <c r="E136" i="25"/>
  <c r="E117" i="25"/>
  <c r="E125" i="25"/>
  <c r="E133" i="25"/>
  <c r="E116" i="25"/>
  <c r="E124" i="25"/>
  <c r="G66" i="2"/>
  <c r="G74" i="2" s="1"/>
  <c r="G75" i="2" s="1"/>
  <c r="T66" i="18"/>
  <c r="L11" i="2" s="1"/>
  <c r="Q58" i="12"/>
  <c r="Y58" i="12"/>
  <c r="Z58" i="12"/>
  <c r="R58" i="24"/>
  <c r="Q58" i="24"/>
  <c r="Z58" i="24"/>
  <c r="Y58" i="24"/>
  <c r="Q57" i="12"/>
  <c r="Y57" i="12"/>
  <c r="Z57" i="12"/>
  <c r="R57" i="24"/>
  <c r="Q57" i="24"/>
  <c r="Z57" i="24"/>
  <c r="Y57" i="24"/>
  <c r="J93" i="2"/>
  <c r="Y19" i="24"/>
  <c r="Y27" i="24"/>
  <c r="Y35" i="24"/>
  <c r="Y43" i="24"/>
  <c r="Y51" i="24"/>
  <c r="Y31" i="24"/>
  <c r="Y18" i="24"/>
  <c r="Y26" i="24"/>
  <c r="Y34" i="24"/>
  <c r="Y42" i="24"/>
  <c r="Y50" i="24"/>
  <c r="Y13" i="24"/>
  <c r="Y23" i="24"/>
  <c r="Y47" i="24"/>
  <c r="Y55" i="24"/>
  <c r="Y22" i="24"/>
  <c r="Y38" i="24"/>
  <c r="Y54" i="24"/>
  <c r="Y29" i="24"/>
  <c r="Y45" i="24"/>
  <c r="Y20" i="24"/>
  <c r="Y36" i="24"/>
  <c r="Y52" i="24"/>
  <c r="Y17" i="24"/>
  <c r="Y25" i="24"/>
  <c r="Y33" i="24"/>
  <c r="Y41" i="24"/>
  <c r="Y49" i="24"/>
  <c r="Y60" i="24"/>
  <c r="Y15" i="24"/>
  <c r="Y39" i="24"/>
  <c r="Y14" i="24"/>
  <c r="Y30" i="24"/>
  <c r="Y46" i="24"/>
  <c r="Y21" i="24"/>
  <c r="Y37" i="24"/>
  <c r="Y53" i="24"/>
  <c r="Y28" i="24"/>
  <c r="Y44" i="24"/>
  <c r="Y16" i="24"/>
  <c r="Y24" i="24"/>
  <c r="Y32" i="24"/>
  <c r="Y40" i="24"/>
  <c r="Y48" i="24"/>
  <c r="Y56" i="24"/>
  <c r="Q56" i="12"/>
  <c r="Y56" i="12"/>
  <c r="Z56" i="12"/>
  <c r="X65" i="11"/>
  <c r="AI42" i="11" s="1"/>
  <c r="Z16" i="24"/>
  <c r="R56" i="24"/>
  <c r="Z56" i="24"/>
  <c r="Q56" i="24"/>
  <c r="G64" i="2"/>
  <c r="G65" i="2" s="1"/>
  <c r="O63" i="16"/>
  <c r="Y47" i="12"/>
  <c r="Q55" i="12"/>
  <c r="Y55" i="12"/>
  <c r="Z55" i="12"/>
  <c r="Y54" i="12"/>
  <c r="D70" i="10"/>
  <c r="Z18" i="24"/>
  <c r="Q55" i="24"/>
  <c r="Z55" i="24"/>
  <c r="R55" i="24"/>
  <c r="D85" i="8"/>
  <c r="D97" i="8"/>
  <c r="D86" i="10"/>
  <c r="D83" i="10"/>
  <c r="Z45" i="24"/>
  <c r="T64" i="17"/>
  <c r="L23" i="2" s="1"/>
  <c r="O64" i="14"/>
  <c r="O64" i="15"/>
  <c r="G94" i="2"/>
  <c r="O64" i="11"/>
  <c r="O65" i="8"/>
  <c r="O62" i="9"/>
  <c r="O64" i="13"/>
  <c r="O64" i="10"/>
  <c r="L156" i="25"/>
  <c r="L154" i="25"/>
  <c r="L150" i="25"/>
  <c r="L148" i="25"/>
  <c r="L157" i="25"/>
  <c r="L155" i="25"/>
  <c r="L151" i="25"/>
  <c r="L149" i="25"/>
  <c r="O14" i="18"/>
  <c r="C20" i="2"/>
  <c r="AA72" i="5"/>
  <c r="AK72" i="5" s="1"/>
  <c r="X65" i="15"/>
  <c r="AI42" i="15" s="1"/>
  <c r="T65" i="15"/>
  <c r="L21" i="2" s="1"/>
  <c r="O65" i="15"/>
  <c r="K21" i="2" s="1"/>
  <c r="Y65" i="14"/>
  <c r="J20" i="2" s="1"/>
  <c r="T65" i="14"/>
  <c r="L20" i="2" s="1"/>
  <c r="O65" i="14"/>
  <c r="K20" i="2" s="1"/>
  <c r="D76" i="16"/>
  <c r="D96" i="16"/>
  <c r="D75" i="16"/>
  <c r="D72" i="16"/>
  <c r="D73" i="16"/>
  <c r="D91" i="16"/>
  <c r="D70" i="16"/>
  <c r="D82" i="16"/>
  <c r="D88" i="16"/>
  <c r="D81" i="16"/>
  <c r="D78" i="16"/>
  <c r="D92" i="16"/>
  <c r="D83" i="16"/>
  <c r="D67" i="16"/>
  <c r="D85" i="16"/>
  <c r="Y64" i="16"/>
  <c r="J22" i="2" s="1"/>
  <c r="T64" i="16"/>
  <c r="L22" i="2" s="1"/>
  <c r="Y65" i="15"/>
  <c r="J21" i="2" s="1"/>
  <c r="Z46" i="12"/>
  <c r="Q52" i="12"/>
  <c r="Q45" i="12"/>
  <c r="Q42" i="12"/>
  <c r="Z43" i="12"/>
  <c r="Y30" i="12"/>
  <c r="Z28" i="12"/>
  <c r="Z41" i="12"/>
  <c r="Q29" i="12"/>
  <c r="Q34" i="12"/>
  <c r="Y14" i="12"/>
  <c r="Z36" i="12"/>
  <c r="Y20" i="12"/>
  <c r="Z23" i="12"/>
  <c r="Y24" i="12"/>
  <c r="Z25" i="12"/>
  <c r="Y37" i="12"/>
  <c r="Y40" i="12"/>
  <c r="Q50" i="12"/>
  <c r="Z33" i="12"/>
  <c r="Y53" i="12"/>
  <c r="Z17" i="12"/>
  <c r="R36" i="12"/>
  <c r="Y13" i="12"/>
  <c r="Q20" i="12"/>
  <c r="Y17" i="12"/>
  <c r="Z47" i="12"/>
  <c r="Z50" i="12"/>
  <c r="Q36" i="12"/>
  <c r="Y29" i="12"/>
  <c r="Y44" i="12"/>
  <c r="R28" i="12"/>
  <c r="Q43" i="12"/>
  <c r="R21" i="12"/>
  <c r="Y48" i="12"/>
  <c r="Z40" i="12"/>
  <c r="R32" i="12"/>
  <c r="R24" i="12"/>
  <c r="Z16" i="12"/>
  <c r="Z39" i="12"/>
  <c r="Y52" i="12"/>
  <c r="Y26" i="12"/>
  <c r="Z53" i="12"/>
  <c r="Q32" i="12"/>
  <c r="Q16" i="12"/>
  <c r="Z15" i="12"/>
  <c r="Z44" i="12"/>
  <c r="Q60" i="12"/>
  <c r="Z26" i="12"/>
  <c r="Z21" i="12"/>
  <c r="Z52" i="12"/>
  <c r="R15" i="12"/>
  <c r="Z34" i="12"/>
  <c r="Y18" i="12"/>
  <c r="Q31" i="12"/>
  <c r="R20" i="12"/>
  <c r="Y23" i="12"/>
  <c r="Z42" i="12"/>
  <c r="Y31" i="12"/>
  <c r="Y43" i="12"/>
  <c r="Y36" i="12"/>
  <c r="Q48" i="12"/>
  <c r="Z31" i="12"/>
  <c r="Y15" i="12"/>
  <c r="Q25" i="12"/>
  <c r="Z45" i="12"/>
  <c r="Y39" i="12"/>
  <c r="R23" i="12"/>
  <c r="Y49" i="12"/>
  <c r="R35" i="12"/>
  <c r="X65" i="13"/>
  <c r="AI42" i="13" s="1"/>
  <c r="O65" i="11"/>
  <c r="Q62" i="11" s="1"/>
  <c r="V62" i="11" s="1"/>
  <c r="H17" i="2" s="1"/>
  <c r="AB65" i="11"/>
  <c r="AA65" i="11"/>
  <c r="D94" i="10"/>
  <c r="D78" i="10"/>
  <c r="D91" i="10"/>
  <c r="D75" i="10"/>
  <c r="D98" i="10"/>
  <c r="D90" i="10"/>
  <c r="D82" i="10"/>
  <c r="D74" i="10"/>
  <c r="D95" i="10"/>
  <c r="D87" i="10"/>
  <c r="D79" i="10"/>
  <c r="D71" i="10"/>
  <c r="D96" i="10"/>
  <c r="D92" i="10"/>
  <c r="D88" i="10"/>
  <c r="D84" i="10"/>
  <c r="D80" i="10"/>
  <c r="D76" i="10"/>
  <c r="D72" i="10"/>
  <c r="D97" i="10"/>
  <c r="D93" i="10"/>
  <c r="D89" i="10"/>
  <c r="D85" i="10"/>
  <c r="D81" i="10"/>
  <c r="D77" i="10"/>
  <c r="D73" i="10"/>
  <c r="T63" i="9"/>
  <c r="L14" i="2" s="1"/>
  <c r="D84" i="8"/>
  <c r="O65" i="10"/>
  <c r="AD62" i="10" s="1"/>
  <c r="R39" i="12"/>
  <c r="R27" i="12"/>
  <c r="T65" i="13"/>
  <c r="L18" i="2" s="1"/>
  <c r="O64" i="16"/>
  <c r="R61" i="16" s="1"/>
  <c r="W61" i="16" s="1"/>
  <c r="I22" i="2" s="1"/>
  <c r="D90" i="16"/>
  <c r="D80" i="16"/>
  <c r="D94" i="16"/>
  <c r="D89" i="16"/>
  <c r="D77" i="16"/>
  <c r="D69" i="16"/>
  <c r="D68" i="16"/>
  <c r="D84" i="16"/>
  <c r="D95" i="16"/>
  <c r="D87" i="16"/>
  <c r="D79" i="16"/>
  <c r="D71" i="16"/>
  <c r="D86" i="16"/>
  <c r="D74" i="16"/>
  <c r="Z29" i="24"/>
  <c r="Z51" i="12"/>
  <c r="Y51" i="12"/>
  <c r="Q27" i="12"/>
  <c r="Z49" i="12"/>
  <c r="Y38" i="12"/>
  <c r="R22" i="12"/>
  <c r="Q49" i="12"/>
  <c r="Q41" i="12"/>
  <c r="Z32" i="12"/>
  <c r="Z24" i="12"/>
  <c r="Y16" i="12"/>
  <c r="Z18" i="12"/>
  <c r="Q39" i="12"/>
  <c r="Q30" i="12"/>
  <c r="Y32" i="12"/>
  <c r="R16" i="12"/>
  <c r="Q46" i="12"/>
  <c r="Z37" i="12"/>
  <c r="Z29" i="12"/>
  <c r="Y21" i="12"/>
  <c r="Z13" i="12"/>
  <c r="Q14" i="12"/>
  <c r="Z19" i="12"/>
  <c r="Q37" i="12"/>
  <c r="Z20" i="12"/>
  <c r="Q28" i="12"/>
  <c r="Z48" i="12"/>
  <c r="Y33" i="12"/>
  <c r="Y25" i="12"/>
  <c r="R17" i="12"/>
  <c r="Y50" i="12"/>
  <c r="Y46" i="12"/>
  <c r="Y42" i="12"/>
  <c r="R38" i="12"/>
  <c r="R34" i="12"/>
  <c r="R30" i="12"/>
  <c r="R26" i="12"/>
  <c r="Q22" i="12"/>
  <c r="Q18" i="12"/>
  <c r="R14" i="12"/>
  <c r="Q53" i="12"/>
  <c r="Q35" i="12"/>
  <c r="Q26" i="12"/>
  <c r="Y34" i="12"/>
  <c r="R18" i="12"/>
  <c r="Q47" i="12"/>
  <c r="Z38" i="12"/>
  <c r="Z30" i="12"/>
  <c r="Y22" i="12"/>
  <c r="Z14" i="12"/>
  <c r="Z60" i="12"/>
  <c r="Z54" i="12"/>
  <c r="Q38" i="12"/>
  <c r="Y28" i="12"/>
  <c r="Q51" i="12"/>
  <c r="Q44" i="12"/>
  <c r="Z35" i="12"/>
  <c r="Z27" i="12"/>
  <c r="Y19" i="12"/>
  <c r="Q54" i="12"/>
  <c r="Z22" i="12"/>
  <c r="Q33" i="12"/>
  <c r="Q13" i="12"/>
  <c r="Q24" i="12"/>
  <c r="Q40" i="12"/>
  <c r="Y35" i="12"/>
  <c r="Y27" i="12"/>
  <c r="R19" i="12"/>
  <c r="Y60" i="12"/>
  <c r="Y45" i="12"/>
  <c r="Y41" i="12"/>
  <c r="R37" i="12"/>
  <c r="R31" i="12"/>
  <c r="Q23" i="12"/>
  <c r="Q19" i="12"/>
  <c r="Y65" i="10"/>
  <c r="J16" i="2" s="1"/>
  <c r="R33" i="12"/>
  <c r="R29" i="12"/>
  <c r="R25" i="12"/>
  <c r="Q21" i="12"/>
  <c r="Q15" i="12"/>
  <c r="Y63" i="9"/>
  <c r="J14" i="2" s="1"/>
  <c r="O63" i="9"/>
  <c r="Q60" i="9" s="1"/>
  <c r="V60" i="9" s="1"/>
  <c r="H14" i="2" s="1"/>
  <c r="T65" i="10"/>
  <c r="L16" i="2" s="1"/>
  <c r="O65" i="13"/>
  <c r="K18" i="2" s="1"/>
  <c r="O64" i="17"/>
  <c r="Q61" i="17" s="1"/>
  <c r="V61" i="17" s="1"/>
  <c r="H23" i="2" s="1"/>
  <c r="Y65" i="11"/>
  <c r="J17" i="2" s="1"/>
  <c r="T65" i="11"/>
  <c r="L17" i="2" s="1"/>
  <c r="Q17" i="12"/>
  <c r="R13" i="12"/>
  <c r="L19" i="2"/>
  <c r="R62" i="12"/>
  <c r="I19" i="2" s="1"/>
  <c r="Y62" i="12"/>
  <c r="Q62" i="12"/>
  <c r="H19" i="2" s="1"/>
  <c r="Z62" i="12"/>
  <c r="X61" i="19"/>
  <c r="AI56" i="19" s="1"/>
  <c r="Y13" i="19"/>
  <c r="Y61" i="19" s="1"/>
  <c r="J12" i="2" s="1"/>
  <c r="Q62" i="24"/>
  <c r="H15" i="2" s="1"/>
  <c r="R62" i="24"/>
  <c r="I15" i="2" s="1"/>
  <c r="N85" i="5"/>
  <c r="N84" i="5"/>
  <c r="Y15" i="8"/>
  <c r="Y66" i="8" s="1"/>
  <c r="J13" i="2" s="1"/>
  <c r="X66" i="8"/>
  <c r="AI43" i="8" s="1"/>
  <c r="D70" i="8"/>
  <c r="D69" i="8"/>
  <c r="D73" i="8"/>
  <c r="D77" i="8"/>
  <c r="D81" i="8"/>
  <c r="D75" i="8"/>
  <c r="D83" i="8"/>
  <c r="D91" i="8"/>
  <c r="D79" i="8"/>
  <c r="D87" i="8"/>
  <c r="D96" i="8"/>
  <c r="D94" i="8"/>
  <c r="D86" i="8"/>
  <c r="D78" i="8"/>
  <c r="D98" i="8"/>
  <c r="D82" i="8"/>
  <c r="D93" i="8"/>
  <c r="D95" i="8"/>
  <c r="Y14" i="18"/>
  <c r="Y66" i="18" s="1"/>
  <c r="R52" i="24"/>
  <c r="Q54" i="24"/>
  <c r="Q52" i="24"/>
  <c r="Q51" i="24"/>
  <c r="R16" i="24"/>
  <c r="R20" i="24"/>
  <c r="R24" i="24"/>
  <c r="R28" i="24"/>
  <c r="R32" i="24"/>
  <c r="R36" i="24"/>
  <c r="R40" i="24"/>
  <c r="R42" i="24"/>
  <c r="Q14" i="24"/>
  <c r="R17" i="24"/>
  <c r="Q18" i="24"/>
  <c r="R21" i="24"/>
  <c r="Q22" i="24"/>
  <c r="R25" i="24"/>
  <c r="Q26" i="24"/>
  <c r="R29" i="24"/>
  <c r="Q30" i="24"/>
  <c r="Z31" i="24"/>
  <c r="R33" i="24"/>
  <c r="Q34" i="24"/>
  <c r="R37" i="24"/>
  <c r="Q38" i="24"/>
  <c r="Q41" i="24"/>
  <c r="Q43" i="24"/>
  <c r="R44" i="24"/>
  <c r="R47" i="24"/>
  <c r="R48" i="24"/>
  <c r="Z49" i="24"/>
  <c r="R60" i="24"/>
  <c r="Z53" i="24"/>
  <c r="Q46" i="24"/>
  <c r="Q50" i="24"/>
  <c r="Q15" i="24"/>
  <c r="Q23" i="24"/>
  <c r="Q31" i="24"/>
  <c r="Q39" i="24"/>
  <c r="R54" i="24"/>
  <c r="R51" i="24"/>
  <c r="R43" i="24"/>
  <c r="Q47" i="24"/>
  <c r="Q60" i="24"/>
  <c r="Q21" i="24"/>
  <c r="Q29" i="24"/>
  <c r="Q37" i="24"/>
  <c r="Q53" i="24"/>
  <c r="R14" i="24"/>
  <c r="R18" i="24"/>
  <c r="R22" i="24"/>
  <c r="R26" i="24"/>
  <c r="R30" i="24"/>
  <c r="R34" i="24"/>
  <c r="R38" i="24"/>
  <c r="R41" i="24"/>
  <c r="R13" i="24"/>
  <c r="R15" i="24"/>
  <c r="Q16" i="24"/>
  <c r="Z17" i="24"/>
  <c r="R19" i="24"/>
  <c r="Q20" i="24"/>
  <c r="Z21" i="24"/>
  <c r="R23" i="24"/>
  <c r="Q24" i="24"/>
  <c r="Z25" i="24"/>
  <c r="R27" i="24"/>
  <c r="Q28" i="24"/>
  <c r="R31" i="24"/>
  <c r="Q32" i="24"/>
  <c r="Z33" i="24"/>
  <c r="R35" i="24"/>
  <c r="Q36" i="24"/>
  <c r="Z37" i="24"/>
  <c r="R39" i="24"/>
  <c r="Q40" i="24"/>
  <c r="Q42" i="24"/>
  <c r="Z43" i="24"/>
  <c r="Q45" i="24"/>
  <c r="R46" i="24"/>
  <c r="R49" i="24"/>
  <c r="R50" i="24"/>
  <c r="Z60" i="24"/>
  <c r="Q44" i="24"/>
  <c r="Q48" i="24"/>
  <c r="Q13" i="24"/>
  <c r="Q19" i="24"/>
  <c r="Q27" i="24"/>
  <c r="Q35" i="24"/>
  <c r="R53" i="24"/>
  <c r="R45" i="24"/>
  <c r="Q49" i="24"/>
  <c r="Z41" i="24"/>
  <c r="Q17" i="24"/>
  <c r="Q25" i="24"/>
  <c r="Q33" i="24"/>
  <c r="Z35" i="24"/>
  <c r="Z19" i="24"/>
  <c r="Z52" i="24"/>
  <c r="Z44" i="24"/>
  <c r="Z36" i="24"/>
  <c r="Z28" i="24"/>
  <c r="Z20" i="24"/>
  <c r="Z54" i="24"/>
  <c r="Z46" i="24"/>
  <c r="Z38" i="24"/>
  <c r="Z30" i="24"/>
  <c r="Z22" i="24"/>
  <c r="Z39" i="24"/>
  <c r="Z13" i="24"/>
  <c r="Z40" i="24"/>
  <c r="Z24" i="24"/>
  <c r="Z42" i="24"/>
  <c r="Z26" i="24"/>
  <c r="Z48" i="24"/>
  <c r="Z32" i="24"/>
  <c r="Z50" i="24"/>
  <c r="Z34" i="24"/>
  <c r="Z14" i="24"/>
  <c r="Z15" i="24"/>
  <c r="Z47" i="24"/>
  <c r="Z23" i="24"/>
  <c r="Z27" i="24"/>
  <c r="Z51" i="24"/>
  <c r="X64" i="17"/>
  <c r="AI41" i="17" s="1"/>
  <c r="D80" i="8"/>
  <c r="X65" i="10"/>
  <c r="AI42" i="10" s="1"/>
  <c r="Y65" i="13"/>
  <c r="J18" i="2" s="1"/>
  <c r="X63" i="9"/>
  <c r="AI40" i="9" s="1"/>
  <c r="X65" i="14"/>
  <c r="AI42" i="14" s="1"/>
  <c r="X64" i="16"/>
  <c r="AI41" i="16" s="1"/>
  <c r="N88" i="5"/>
  <c r="N87" i="5"/>
  <c r="D90" i="8"/>
  <c r="Z62" i="24"/>
  <c r="D72" i="8"/>
  <c r="Y64" i="17"/>
  <c r="J23" i="2" s="1"/>
  <c r="N83" i="5"/>
  <c r="T66" i="8"/>
  <c r="L13" i="2" s="1"/>
  <c r="D71" i="8"/>
  <c r="D89" i="8"/>
  <c r="D92" i="8"/>
  <c r="D74" i="8"/>
  <c r="D76" i="8"/>
  <c r="G10" i="28"/>
  <c r="E10" i="28"/>
  <c r="G19" i="29"/>
  <c r="K19" i="29"/>
  <c r="BD95" i="25" l="1"/>
  <c r="BD103" i="25"/>
  <c r="BD111" i="25"/>
  <c r="BD119" i="25"/>
  <c r="BD127" i="25"/>
  <c r="BD135" i="25"/>
  <c r="BD143" i="25"/>
  <c r="BD97" i="25"/>
  <c r="BD113" i="25"/>
  <c r="BD129" i="25"/>
  <c r="BD109" i="25"/>
  <c r="BD94" i="25"/>
  <c r="BD118" i="25"/>
  <c r="BD96" i="25"/>
  <c r="BD104" i="25"/>
  <c r="BD112" i="25"/>
  <c r="BD120" i="25"/>
  <c r="BD128" i="25"/>
  <c r="BD136" i="25"/>
  <c r="BD93" i="25"/>
  <c r="BD105" i="25"/>
  <c r="BD121" i="25"/>
  <c r="BD137" i="25"/>
  <c r="BD125" i="25"/>
  <c r="BD110" i="25"/>
  <c r="BD134" i="25"/>
  <c r="BD98" i="25"/>
  <c r="BD106" i="25"/>
  <c r="BD114" i="25"/>
  <c r="BD122" i="25"/>
  <c r="BD130" i="25"/>
  <c r="BD138" i="25"/>
  <c r="BD108" i="25"/>
  <c r="BD124" i="25"/>
  <c r="BD140" i="25"/>
  <c r="BD117" i="25"/>
  <c r="BD141" i="25"/>
  <c r="BD102" i="25"/>
  <c r="BD126" i="25"/>
  <c r="BD99" i="25"/>
  <c r="BD107" i="25"/>
  <c r="BD115" i="25"/>
  <c r="BD123" i="25"/>
  <c r="BD131" i="25"/>
  <c r="BD139" i="25"/>
  <c r="BD100" i="25"/>
  <c r="BD116" i="25"/>
  <c r="BD132" i="25"/>
  <c r="BD101" i="25"/>
  <c r="BD133" i="25"/>
  <c r="BB143" i="25"/>
  <c r="BD142" i="25"/>
  <c r="L143" i="25"/>
  <c r="M94" i="2"/>
  <c r="N94" i="2"/>
  <c r="AE125" i="25"/>
  <c r="AE133" i="25"/>
  <c r="AE141" i="25"/>
  <c r="AE134" i="25"/>
  <c r="AE142" i="25"/>
  <c r="AE138" i="25"/>
  <c r="AE139" i="25"/>
  <c r="AE140" i="25"/>
  <c r="AE126" i="25"/>
  <c r="AE127" i="25"/>
  <c r="AE135" i="25"/>
  <c r="AE143" i="25"/>
  <c r="AE128" i="25"/>
  <c r="AE136" i="25"/>
  <c r="AE124" i="25"/>
  <c r="AE129" i="25"/>
  <c r="AE137" i="25"/>
  <c r="AE130" i="25"/>
  <c r="AE131" i="25"/>
  <c r="AE132" i="25"/>
  <c r="G57" i="2"/>
  <c r="R59" i="13"/>
  <c r="W59" i="13" s="1"/>
  <c r="R59" i="12"/>
  <c r="R55" i="17"/>
  <c r="W55" i="17" s="1"/>
  <c r="AD58" i="17"/>
  <c r="AE58" i="17"/>
  <c r="R58" i="17"/>
  <c r="W58" i="17" s="1"/>
  <c r="Q58" i="17"/>
  <c r="V58" i="17" s="1"/>
  <c r="R58" i="16"/>
  <c r="W58" i="16" s="1"/>
  <c r="AE58" i="16"/>
  <c r="AD58" i="16"/>
  <c r="Q58" i="16"/>
  <c r="V58" i="16" s="1"/>
  <c r="AD59" i="15"/>
  <c r="AE59" i="15"/>
  <c r="Q59" i="15"/>
  <c r="V59" i="15" s="1"/>
  <c r="R59" i="15"/>
  <c r="W59" i="15" s="1"/>
  <c r="AE59" i="14"/>
  <c r="AD59" i="14"/>
  <c r="Q59" i="14"/>
  <c r="V59" i="14" s="1"/>
  <c r="R59" i="14"/>
  <c r="W59" i="14" s="1"/>
  <c r="AE59" i="13"/>
  <c r="AD59" i="13"/>
  <c r="Q59" i="13"/>
  <c r="V59" i="13" s="1"/>
  <c r="Q59" i="11"/>
  <c r="V59" i="11" s="1"/>
  <c r="R59" i="11"/>
  <c r="W59" i="11" s="1"/>
  <c r="AD59" i="11"/>
  <c r="AE59" i="11"/>
  <c r="R59" i="10"/>
  <c r="W59" i="10" s="1"/>
  <c r="Q59" i="10"/>
  <c r="V59" i="10" s="1"/>
  <c r="AD59" i="10"/>
  <c r="AE59" i="10"/>
  <c r="AE57" i="9"/>
  <c r="AD57" i="9"/>
  <c r="Q57" i="9"/>
  <c r="V57" i="9" s="1"/>
  <c r="R57" i="9"/>
  <c r="W57" i="9" s="1"/>
  <c r="AE60" i="8"/>
  <c r="AD60" i="8"/>
  <c r="Q60" i="8"/>
  <c r="V60" i="8" s="1"/>
  <c r="R60" i="8"/>
  <c r="W60" i="8" s="1"/>
  <c r="Q55" i="19"/>
  <c r="V55" i="19" s="1"/>
  <c r="R55" i="19"/>
  <c r="W55" i="19" s="1"/>
  <c r="AE55" i="19"/>
  <c r="AD55" i="19"/>
  <c r="M143" i="25"/>
  <c r="M142" i="25"/>
  <c r="M139" i="25"/>
  <c r="M108" i="25"/>
  <c r="AD53" i="17"/>
  <c r="Q29" i="17"/>
  <c r="V29" i="17" s="1"/>
  <c r="Q18" i="17"/>
  <c r="V18" i="17" s="1"/>
  <c r="Q40" i="17"/>
  <c r="V40" i="17" s="1"/>
  <c r="AD50" i="17"/>
  <c r="Q52" i="17"/>
  <c r="V52" i="17" s="1"/>
  <c r="K23" i="2"/>
  <c r="AE56" i="17"/>
  <c r="AD61" i="17"/>
  <c r="Q16" i="17"/>
  <c r="V16" i="17" s="1"/>
  <c r="Q41" i="17"/>
  <c r="V41" i="17" s="1"/>
  <c r="Q56" i="17"/>
  <c r="V56" i="17" s="1"/>
  <c r="AD48" i="17"/>
  <c r="AE53" i="17"/>
  <c r="AE49" i="17"/>
  <c r="R44" i="17"/>
  <c r="W44" i="17" s="1"/>
  <c r="R18" i="17"/>
  <c r="W18" i="17" s="1"/>
  <c r="AE51" i="17"/>
  <c r="R24" i="17"/>
  <c r="W24" i="17" s="1"/>
  <c r="R54" i="17"/>
  <c r="W54" i="17" s="1"/>
  <c r="R56" i="17"/>
  <c r="W56" i="17" s="1"/>
  <c r="AD57" i="17"/>
  <c r="AD45" i="17"/>
  <c r="R28" i="17"/>
  <c r="W28" i="17" s="1"/>
  <c r="R32" i="17"/>
  <c r="W32" i="17" s="1"/>
  <c r="AD40" i="17"/>
  <c r="AD34" i="17"/>
  <c r="AE13" i="17"/>
  <c r="Q28" i="17"/>
  <c r="V28" i="17" s="1"/>
  <c r="Q50" i="17"/>
  <c r="V50" i="17" s="1"/>
  <c r="R48" i="17"/>
  <c r="W48" i="17" s="1"/>
  <c r="AE54" i="17"/>
  <c r="AE55" i="17"/>
  <c r="AD56" i="17"/>
  <c r="AE45" i="17"/>
  <c r="AE34" i="17"/>
  <c r="Q47" i="17"/>
  <c r="V47" i="17" s="1"/>
  <c r="Q27" i="17"/>
  <c r="V27" i="17" s="1"/>
  <c r="R19" i="17"/>
  <c r="W19" i="17" s="1"/>
  <c r="Q55" i="17"/>
  <c r="V55" i="17" s="1"/>
  <c r="R57" i="17"/>
  <c r="W57" i="17" s="1"/>
  <c r="AE57" i="17"/>
  <c r="AE39" i="17"/>
  <c r="AD49" i="17"/>
  <c r="AE14" i="17"/>
  <c r="R43" i="17"/>
  <c r="W43" i="17" s="1"/>
  <c r="Q48" i="17"/>
  <c r="V48" i="17" s="1"/>
  <c r="R51" i="17"/>
  <c r="W51" i="17" s="1"/>
  <c r="Q54" i="17"/>
  <c r="V54" i="17" s="1"/>
  <c r="AD55" i="17"/>
  <c r="Q57" i="17"/>
  <c r="V57" i="17" s="1"/>
  <c r="AE32" i="17"/>
  <c r="AD17" i="17"/>
  <c r="AD13" i="17"/>
  <c r="R42" i="17"/>
  <c r="W42" i="17" s="1"/>
  <c r="R34" i="17"/>
  <c r="W34" i="17" s="1"/>
  <c r="Q39" i="17"/>
  <c r="V39" i="17" s="1"/>
  <c r="AD54" i="17"/>
  <c r="M141" i="25"/>
  <c r="O65" i="18"/>
  <c r="O66" i="18"/>
  <c r="AD63" i="18" s="1"/>
  <c r="R58" i="12"/>
  <c r="R58" i="13"/>
  <c r="W58" i="13" s="1"/>
  <c r="AD57" i="16"/>
  <c r="R57" i="16"/>
  <c r="W57" i="16" s="1"/>
  <c r="Q57" i="16"/>
  <c r="V57" i="16" s="1"/>
  <c r="AE57" i="16"/>
  <c r="AD58" i="15"/>
  <c r="R58" i="15"/>
  <c r="W58" i="15" s="1"/>
  <c r="Q58" i="15"/>
  <c r="V58" i="15" s="1"/>
  <c r="AE58" i="15"/>
  <c r="Q58" i="14"/>
  <c r="V58" i="14" s="1"/>
  <c r="R58" i="14"/>
  <c r="W58" i="14" s="1"/>
  <c r="AE58" i="14"/>
  <c r="AD58" i="14"/>
  <c r="Q58" i="13"/>
  <c r="V58" i="13" s="1"/>
  <c r="AE58" i="13"/>
  <c r="AD58" i="13"/>
  <c r="Q58" i="11"/>
  <c r="V58" i="11" s="1"/>
  <c r="R58" i="11"/>
  <c r="W58" i="11" s="1"/>
  <c r="AE58" i="11"/>
  <c r="AD58" i="11"/>
  <c r="Q58" i="10"/>
  <c r="V58" i="10" s="1"/>
  <c r="R58" i="10"/>
  <c r="W58" i="10" s="1"/>
  <c r="AE58" i="10"/>
  <c r="AD58" i="10"/>
  <c r="Q56" i="9"/>
  <c r="V56" i="9" s="1"/>
  <c r="R56" i="9"/>
  <c r="W56" i="9" s="1"/>
  <c r="AE56" i="9"/>
  <c r="AD56" i="9"/>
  <c r="AD59" i="8"/>
  <c r="R59" i="8"/>
  <c r="W59" i="8" s="1"/>
  <c r="Q59" i="8"/>
  <c r="V59" i="8" s="1"/>
  <c r="AE59" i="8"/>
  <c r="Q54" i="19"/>
  <c r="V54" i="19" s="1"/>
  <c r="AD54" i="19"/>
  <c r="R54" i="19"/>
  <c r="W54" i="19" s="1"/>
  <c r="AE54" i="19"/>
  <c r="M140" i="25"/>
  <c r="R57" i="13"/>
  <c r="W57" i="13" s="1"/>
  <c r="R57" i="12"/>
  <c r="AE45" i="16"/>
  <c r="AD56" i="16"/>
  <c r="R56" i="16"/>
  <c r="W56" i="16" s="1"/>
  <c r="Q56" i="16"/>
  <c r="V56" i="16" s="1"/>
  <c r="AE56" i="16"/>
  <c r="AD57" i="15"/>
  <c r="R57" i="15"/>
  <c r="W57" i="15" s="1"/>
  <c r="AE57" i="15"/>
  <c r="Q57" i="15"/>
  <c r="V57" i="15" s="1"/>
  <c r="R57" i="14"/>
  <c r="W57" i="14" s="1"/>
  <c r="Q57" i="14"/>
  <c r="V57" i="14" s="1"/>
  <c r="AE57" i="14"/>
  <c r="AD57" i="14"/>
  <c r="Q57" i="13"/>
  <c r="V57" i="13" s="1"/>
  <c r="AE57" i="13"/>
  <c r="AD57" i="13"/>
  <c r="R57" i="11"/>
  <c r="W57" i="11" s="1"/>
  <c r="Q57" i="11"/>
  <c r="V57" i="11" s="1"/>
  <c r="AE57" i="11"/>
  <c r="AD57" i="11"/>
  <c r="R57" i="10"/>
  <c r="W57" i="10" s="1"/>
  <c r="Q57" i="10"/>
  <c r="V57" i="10" s="1"/>
  <c r="AE57" i="10"/>
  <c r="AD57" i="10"/>
  <c r="R55" i="9"/>
  <c r="W55" i="9" s="1"/>
  <c r="Q55" i="9"/>
  <c r="V55" i="9" s="1"/>
  <c r="AE55" i="9"/>
  <c r="AD55" i="9"/>
  <c r="Q58" i="8"/>
  <c r="V58" i="8" s="1"/>
  <c r="AD58" i="8"/>
  <c r="R58" i="8"/>
  <c r="W58" i="8" s="1"/>
  <c r="AE58" i="8"/>
  <c r="Q53" i="19"/>
  <c r="V53" i="19" s="1"/>
  <c r="AD53" i="19"/>
  <c r="R53" i="19"/>
  <c r="W53" i="19" s="1"/>
  <c r="AE53" i="19"/>
  <c r="R61" i="17"/>
  <c r="W61" i="17" s="1"/>
  <c r="I23" i="2" s="1"/>
  <c r="M138" i="25"/>
  <c r="M136" i="25"/>
  <c r="M134" i="25"/>
  <c r="M132" i="25"/>
  <c r="M130" i="25"/>
  <c r="M128" i="25"/>
  <c r="M126" i="25"/>
  <c r="M124" i="25"/>
  <c r="M122" i="25"/>
  <c r="M120" i="25"/>
  <c r="M118" i="25"/>
  <c r="M116" i="25"/>
  <c r="M114" i="25"/>
  <c r="M112" i="25"/>
  <c r="M110" i="25"/>
  <c r="M137" i="25"/>
  <c r="M135" i="25"/>
  <c r="M133" i="25"/>
  <c r="M131" i="25"/>
  <c r="M129" i="25"/>
  <c r="M127" i="25"/>
  <c r="M125" i="25"/>
  <c r="M123" i="25"/>
  <c r="M121" i="25"/>
  <c r="M119" i="25"/>
  <c r="M117" i="25"/>
  <c r="M115" i="25"/>
  <c r="M113" i="25"/>
  <c r="M111" i="25"/>
  <c r="M109" i="25"/>
  <c r="AD22" i="16"/>
  <c r="Q54" i="16"/>
  <c r="V54" i="16" s="1"/>
  <c r="R56" i="13"/>
  <c r="W56" i="13" s="1"/>
  <c r="R56" i="12"/>
  <c r="R54" i="16"/>
  <c r="W54" i="16" s="1"/>
  <c r="Q55" i="16"/>
  <c r="V55" i="16" s="1"/>
  <c r="R55" i="16"/>
  <c r="W55" i="16" s="1"/>
  <c r="AD55" i="16"/>
  <c r="AE55" i="16"/>
  <c r="AE27" i="15"/>
  <c r="Q56" i="15"/>
  <c r="V56" i="15" s="1"/>
  <c r="R56" i="15"/>
  <c r="W56" i="15" s="1"/>
  <c r="AD56" i="15"/>
  <c r="AE56" i="15"/>
  <c r="AE52" i="14"/>
  <c r="AE56" i="14"/>
  <c r="Q56" i="14"/>
  <c r="V56" i="14" s="1"/>
  <c r="AD56" i="14"/>
  <c r="R56" i="14"/>
  <c r="W56" i="14" s="1"/>
  <c r="Q53" i="13"/>
  <c r="V53" i="13" s="1"/>
  <c r="AE56" i="13"/>
  <c r="Q56" i="13"/>
  <c r="V56" i="13" s="1"/>
  <c r="AD56" i="13"/>
  <c r="AE29" i="11"/>
  <c r="AE56" i="11"/>
  <c r="Q56" i="11"/>
  <c r="V56" i="11" s="1"/>
  <c r="AD56" i="11"/>
  <c r="R56" i="11"/>
  <c r="W56" i="11" s="1"/>
  <c r="AE56" i="10"/>
  <c r="Q56" i="10"/>
  <c r="V56" i="10" s="1"/>
  <c r="AD56" i="10"/>
  <c r="R56" i="10"/>
  <c r="W56" i="10" s="1"/>
  <c r="AE54" i="9"/>
  <c r="Q54" i="9"/>
  <c r="V54" i="9" s="1"/>
  <c r="AD54" i="9"/>
  <c r="R54" i="9"/>
  <c r="W54" i="9" s="1"/>
  <c r="Q57" i="8"/>
  <c r="V57" i="8" s="1"/>
  <c r="R57" i="8"/>
  <c r="W57" i="8" s="1"/>
  <c r="AD57" i="8"/>
  <c r="AE57" i="8"/>
  <c r="R51" i="19"/>
  <c r="W51" i="19" s="1"/>
  <c r="Q52" i="19"/>
  <c r="V52" i="19" s="1"/>
  <c r="R52" i="19"/>
  <c r="W52" i="19" s="1"/>
  <c r="AD52" i="19"/>
  <c r="AE52" i="19"/>
  <c r="G77" i="2"/>
  <c r="J94" i="2"/>
  <c r="AD54" i="16"/>
  <c r="R15" i="16"/>
  <c r="W15" i="16" s="1"/>
  <c r="AE54" i="16"/>
  <c r="R40" i="15"/>
  <c r="W40" i="15" s="1"/>
  <c r="R25" i="15"/>
  <c r="W25" i="15" s="1"/>
  <c r="AD25" i="15"/>
  <c r="AE53" i="15"/>
  <c r="AE50" i="15"/>
  <c r="AD26" i="15"/>
  <c r="AD19" i="15"/>
  <c r="AE14" i="14"/>
  <c r="AD50" i="14"/>
  <c r="AE54" i="14"/>
  <c r="R48" i="14"/>
  <c r="W48" i="14" s="1"/>
  <c r="AD36" i="14"/>
  <c r="Q28" i="14"/>
  <c r="V28" i="14" s="1"/>
  <c r="R62" i="14"/>
  <c r="W62" i="14" s="1"/>
  <c r="I20" i="2" s="1"/>
  <c r="R33" i="14"/>
  <c r="W33" i="14" s="1"/>
  <c r="R43" i="14"/>
  <c r="W43" i="14" s="1"/>
  <c r="AD51" i="14"/>
  <c r="Q29" i="14"/>
  <c r="V29" i="14" s="1"/>
  <c r="Q20" i="14"/>
  <c r="V20" i="14" s="1"/>
  <c r="Q40" i="13"/>
  <c r="V40" i="13" s="1"/>
  <c r="Q18" i="13"/>
  <c r="V18" i="13" s="1"/>
  <c r="AD38" i="13"/>
  <c r="AE50" i="13"/>
  <c r="R54" i="12"/>
  <c r="R55" i="13"/>
  <c r="W55" i="13" s="1"/>
  <c r="R55" i="12"/>
  <c r="Q51" i="19"/>
  <c r="V51" i="19" s="1"/>
  <c r="AD51" i="19"/>
  <c r="AE51" i="19"/>
  <c r="Q55" i="15"/>
  <c r="V55" i="15" s="1"/>
  <c r="R55" i="15"/>
  <c r="W55" i="15" s="1"/>
  <c r="AE55" i="15"/>
  <c r="AD55" i="15"/>
  <c r="AD60" i="14"/>
  <c r="AE55" i="14"/>
  <c r="Q55" i="14"/>
  <c r="V55" i="14" s="1"/>
  <c r="AD55" i="14"/>
  <c r="R55" i="14"/>
  <c r="W55" i="14" s="1"/>
  <c r="AD53" i="13"/>
  <c r="AE55" i="13"/>
  <c r="AD55" i="13"/>
  <c r="Q55" i="13"/>
  <c r="V55" i="13" s="1"/>
  <c r="AD44" i="11"/>
  <c r="AE55" i="11"/>
  <c r="Q55" i="11"/>
  <c r="V55" i="11" s="1"/>
  <c r="AD55" i="11"/>
  <c r="R55" i="11"/>
  <c r="W55" i="11" s="1"/>
  <c r="AE55" i="10"/>
  <c r="AD55" i="10"/>
  <c r="R55" i="10"/>
  <c r="W55" i="10" s="1"/>
  <c r="Q55" i="10"/>
  <c r="V55" i="10" s="1"/>
  <c r="AE53" i="9"/>
  <c r="Q53" i="9"/>
  <c r="V53" i="9" s="1"/>
  <c r="AD53" i="9"/>
  <c r="R53" i="9"/>
  <c r="W53" i="9" s="1"/>
  <c r="Q56" i="8"/>
  <c r="V56" i="8" s="1"/>
  <c r="R56" i="8"/>
  <c r="W56" i="8" s="1"/>
  <c r="AD56" i="8"/>
  <c r="AE56" i="8"/>
  <c r="AE61" i="17"/>
  <c r="AD22" i="13"/>
  <c r="Q19" i="13"/>
  <c r="V19" i="13" s="1"/>
  <c r="Q34" i="13"/>
  <c r="V34" i="13" s="1"/>
  <c r="R34" i="13"/>
  <c r="W34" i="13" s="1"/>
  <c r="AD54" i="13"/>
  <c r="AD27" i="14"/>
  <c r="AE39" i="14"/>
  <c r="R35" i="14"/>
  <c r="W35" i="14" s="1"/>
  <c r="Q13" i="14"/>
  <c r="V13" i="14" s="1"/>
  <c r="AD20" i="14"/>
  <c r="AE48" i="14"/>
  <c r="Q26" i="14"/>
  <c r="V26" i="14" s="1"/>
  <c r="AD23" i="14"/>
  <c r="AE33" i="14"/>
  <c r="R32" i="14"/>
  <c r="W32" i="14" s="1"/>
  <c r="R62" i="10"/>
  <c r="W62" i="10" s="1"/>
  <c r="I16" i="2" s="1"/>
  <c r="I75" i="2"/>
  <c r="G92" i="2"/>
  <c r="I14" i="28"/>
  <c r="C24" i="2"/>
  <c r="E20" i="2"/>
  <c r="E24" i="2" s="1"/>
  <c r="D20" i="2"/>
  <c r="D24" i="2" s="1"/>
  <c r="Q24" i="16"/>
  <c r="V24" i="16" s="1"/>
  <c r="AD31" i="15"/>
  <c r="R30" i="15"/>
  <c r="W30" i="15" s="1"/>
  <c r="Q37" i="15"/>
  <c r="V37" i="15" s="1"/>
  <c r="AD40" i="15"/>
  <c r="Q36" i="15"/>
  <c r="V36" i="15" s="1"/>
  <c r="AE46" i="15"/>
  <c r="AE47" i="15"/>
  <c r="R15" i="15"/>
  <c r="W15" i="15" s="1"/>
  <c r="Q48" i="15"/>
  <c r="V48" i="15" s="1"/>
  <c r="Q21" i="15"/>
  <c r="V21" i="15" s="1"/>
  <c r="AE13" i="15"/>
  <c r="AE32" i="15"/>
  <c r="R18" i="15"/>
  <c r="W18" i="15" s="1"/>
  <c r="Q20" i="15"/>
  <c r="V20" i="15" s="1"/>
  <c r="AE34" i="15"/>
  <c r="AD38" i="15"/>
  <c r="AD20" i="15"/>
  <c r="R48" i="15"/>
  <c r="W48" i="15" s="1"/>
  <c r="AE24" i="15"/>
  <c r="Q43" i="15"/>
  <c r="V43" i="15" s="1"/>
  <c r="R53" i="15"/>
  <c r="W53" i="15" s="1"/>
  <c r="R43" i="15"/>
  <c r="W43" i="15" s="1"/>
  <c r="Q29" i="15"/>
  <c r="V29" i="15" s="1"/>
  <c r="Q13" i="15"/>
  <c r="V13" i="15" s="1"/>
  <c r="AD30" i="15"/>
  <c r="AD32" i="15"/>
  <c r="R42" i="15"/>
  <c r="W42" i="15" s="1"/>
  <c r="AD48" i="15"/>
  <c r="R31" i="15"/>
  <c r="W31" i="15" s="1"/>
  <c r="AE45" i="15"/>
  <c r="Q28" i="15"/>
  <c r="V28" i="15" s="1"/>
  <c r="Q51" i="15"/>
  <c r="V51" i="15" s="1"/>
  <c r="AD62" i="15"/>
  <c r="AD37" i="15"/>
  <c r="Q62" i="15"/>
  <c r="V62" i="15" s="1"/>
  <c r="H21" i="2" s="1"/>
  <c r="E13" i="28" s="1"/>
  <c r="AE62" i="15"/>
  <c r="R62" i="15"/>
  <c r="W62" i="15" s="1"/>
  <c r="I21" i="2" s="1"/>
  <c r="G13" i="28" s="1"/>
  <c r="Q43" i="14"/>
  <c r="V43" i="14" s="1"/>
  <c r="Q22" i="14"/>
  <c r="V22" i="14" s="1"/>
  <c r="AE23" i="14"/>
  <c r="Q45" i="14"/>
  <c r="V45" i="14" s="1"/>
  <c r="Q24" i="14"/>
  <c r="V24" i="14" s="1"/>
  <c r="Q27" i="14"/>
  <c r="V27" i="14" s="1"/>
  <c r="Q48" i="14"/>
  <c r="V48" i="14" s="1"/>
  <c r="AD28" i="14"/>
  <c r="Q15" i="14"/>
  <c r="V15" i="14" s="1"/>
  <c r="AE49" i="14"/>
  <c r="AD25" i="14"/>
  <c r="R37" i="14"/>
  <c r="W37" i="14" s="1"/>
  <c r="Q49" i="14"/>
  <c r="V49" i="14" s="1"/>
  <c r="AE13" i="14"/>
  <c r="R39" i="14"/>
  <c r="W39" i="14" s="1"/>
  <c r="R13" i="14"/>
  <c r="W13" i="14" s="1"/>
  <c r="AE17" i="14"/>
  <c r="R40" i="14"/>
  <c r="W40" i="14" s="1"/>
  <c r="R24" i="14"/>
  <c r="W24" i="14" s="1"/>
  <c r="AE43" i="14"/>
  <c r="AE44" i="14"/>
  <c r="AE62" i="14"/>
  <c r="Q62" i="14"/>
  <c r="V62" i="14" s="1"/>
  <c r="H20" i="2" s="1"/>
  <c r="AD17" i="14"/>
  <c r="R49" i="14"/>
  <c r="W49" i="14" s="1"/>
  <c r="Q38" i="14"/>
  <c r="V38" i="14" s="1"/>
  <c r="AE26" i="14"/>
  <c r="Q14" i="14"/>
  <c r="V14" i="14" s="1"/>
  <c r="AE31" i="14"/>
  <c r="Q17" i="14"/>
  <c r="V17" i="14" s="1"/>
  <c r="AD14" i="14"/>
  <c r="Q40" i="14"/>
  <c r="V40" i="14" s="1"/>
  <c r="AE28" i="14"/>
  <c r="R15" i="14"/>
  <c r="W15" i="14" s="1"/>
  <c r="Q35" i="14"/>
  <c r="V35" i="14" s="1"/>
  <c r="Q19" i="14"/>
  <c r="V19" i="14" s="1"/>
  <c r="AE20" i="14"/>
  <c r="AD40" i="14"/>
  <c r="AD32" i="14"/>
  <c r="AD24" i="14"/>
  <c r="AE16" i="14"/>
  <c r="AD43" i="14"/>
  <c r="AE60" i="14"/>
  <c r="AD44" i="14"/>
  <c r="AD52" i="14"/>
  <c r="AD35" i="14"/>
  <c r="AE41" i="14"/>
  <c r="AE30" i="14"/>
  <c r="R21" i="14"/>
  <c r="W21" i="14" s="1"/>
  <c r="Q37" i="14"/>
  <c r="V37" i="14" s="1"/>
  <c r="Q21" i="14"/>
  <c r="V21" i="14" s="1"/>
  <c r="AD21" i="14"/>
  <c r="R44" i="14"/>
  <c r="W44" i="14" s="1"/>
  <c r="AE32" i="14"/>
  <c r="R23" i="14"/>
  <c r="W23" i="14" s="1"/>
  <c r="AD41" i="14"/>
  <c r="AE25" i="14"/>
  <c r="R51" i="14"/>
  <c r="W51" i="14" s="1"/>
  <c r="Q46" i="14"/>
  <c r="V46" i="14" s="1"/>
  <c r="R36" i="14"/>
  <c r="W36" i="14" s="1"/>
  <c r="R28" i="14"/>
  <c r="W28" i="14" s="1"/>
  <c r="R20" i="14"/>
  <c r="W20" i="14" s="1"/>
  <c r="R14" i="14"/>
  <c r="W14" i="14" s="1"/>
  <c r="AE51" i="14"/>
  <c r="AD49" i="14"/>
  <c r="AD48" i="14"/>
  <c r="AD54" i="14"/>
  <c r="AD33" i="14"/>
  <c r="R60" i="14"/>
  <c r="W60" i="14" s="1"/>
  <c r="R47" i="14"/>
  <c r="W47" i="14" s="1"/>
  <c r="Q41" i="14"/>
  <c r="V41" i="14" s="1"/>
  <c r="AE34" i="14"/>
  <c r="Q30" i="14"/>
  <c r="V30" i="14" s="1"/>
  <c r="R25" i="14"/>
  <c r="W25" i="14" s="1"/>
  <c r="Q18" i="14"/>
  <c r="V18" i="14" s="1"/>
  <c r="R45" i="14"/>
  <c r="W45" i="14" s="1"/>
  <c r="AE35" i="14"/>
  <c r="AE27" i="14"/>
  <c r="AE19" i="14"/>
  <c r="Q51" i="14"/>
  <c r="V51" i="14" s="1"/>
  <c r="AD29" i="14"/>
  <c r="AD31" i="14"/>
  <c r="Q42" i="14"/>
  <c r="V42" i="14" s="1"/>
  <c r="AE36" i="14"/>
  <c r="Q32" i="14"/>
  <c r="V32" i="14" s="1"/>
  <c r="R27" i="14"/>
  <c r="W27" i="14" s="1"/>
  <c r="AE18" i="14"/>
  <c r="Q60" i="14"/>
  <c r="V60" i="14" s="1"/>
  <c r="Q39" i="14"/>
  <c r="V39" i="14" s="1"/>
  <c r="Q31" i="14"/>
  <c r="V31" i="14" s="1"/>
  <c r="Q23" i="14"/>
  <c r="V23" i="14" s="1"/>
  <c r="AD13" i="14"/>
  <c r="Q53" i="14"/>
  <c r="V53" i="14" s="1"/>
  <c r="R19" i="14"/>
  <c r="W19" i="14" s="1"/>
  <c r="Q44" i="14"/>
  <c r="V44" i="14" s="1"/>
  <c r="AD38" i="14"/>
  <c r="AD34" i="14"/>
  <c r="AD30" i="14"/>
  <c r="AD26" i="14"/>
  <c r="AD22" i="14"/>
  <c r="AD18" i="14"/>
  <c r="R53" i="14"/>
  <c r="W53" i="14" s="1"/>
  <c r="Q52" i="14"/>
  <c r="V52" i="14" s="1"/>
  <c r="AD45" i="14"/>
  <c r="AD53" i="14"/>
  <c r="AE47" i="14"/>
  <c r="AE42" i="14"/>
  <c r="AE46" i="14"/>
  <c r="AE50" i="14"/>
  <c r="AD16" i="14"/>
  <c r="AD19" i="14"/>
  <c r="R50" i="14"/>
  <c r="W50" i="14" s="1"/>
  <c r="R46" i="14"/>
  <c r="W46" i="14" s="1"/>
  <c r="AE38" i="14"/>
  <c r="Q34" i="14"/>
  <c r="V34" i="14" s="1"/>
  <c r="R29" i="14"/>
  <c r="W29" i="14" s="1"/>
  <c r="AE22" i="14"/>
  <c r="Q16" i="14"/>
  <c r="V16" i="14" s="1"/>
  <c r="R41" i="14"/>
  <c r="W41" i="14" s="1"/>
  <c r="Q33" i="14"/>
  <c r="V33" i="14" s="1"/>
  <c r="Q25" i="14"/>
  <c r="V25" i="14" s="1"/>
  <c r="AD15" i="14"/>
  <c r="Q54" i="14"/>
  <c r="V54" i="14" s="1"/>
  <c r="AD37" i="14"/>
  <c r="AD39" i="14"/>
  <c r="AE40" i="14"/>
  <c r="Q36" i="14"/>
  <c r="V36" i="14" s="1"/>
  <c r="R31" i="14"/>
  <c r="W31" i="14" s="1"/>
  <c r="AE24" i="14"/>
  <c r="R17" i="14"/>
  <c r="W17" i="14" s="1"/>
  <c r="Q47" i="14"/>
  <c r="V47" i="14" s="1"/>
  <c r="AE37" i="14"/>
  <c r="AE29" i="14"/>
  <c r="AE21" i="14"/>
  <c r="R16" i="14"/>
  <c r="W16" i="14" s="1"/>
  <c r="R54" i="14"/>
  <c r="W54" i="14" s="1"/>
  <c r="Q50" i="14"/>
  <c r="V50" i="14" s="1"/>
  <c r="R42" i="14"/>
  <c r="W42" i="14" s="1"/>
  <c r="R38" i="14"/>
  <c r="W38" i="14" s="1"/>
  <c r="R34" i="14"/>
  <c r="W34" i="14" s="1"/>
  <c r="R30" i="14"/>
  <c r="W30" i="14" s="1"/>
  <c r="R26" i="14"/>
  <c r="W26" i="14" s="1"/>
  <c r="R22" i="14"/>
  <c r="W22" i="14" s="1"/>
  <c r="R18" i="14"/>
  <c r="W18" i="14" s="1"/>
  <c r="AE15" i="14"/>
  <c r="R52" i="14"/>
  <c r="W52" i="14" s="1"/>
  <c r="AE45" i="14"/>
  <c r="AE53" i="14"/>
  <c r="AD47" i="14"/>
  <c r="AD42" i="14"/>
  <c r="AD46" i="14"/>
  <c r="AD62" i="14"/>
  <c r="Q49" i="13"/>
  <c r="V49" i="13" s="1"/>
  <c r="AD30" i="13"/>
  <c r="R14" i="13"/>
  <c r="W14" i="13" s="1"/>
  <c r="R29" i="13"/>
  <c r="W29" i="13" s="1"/>
  <c r="AD34" i="13"/>
  <c r="AE42" i="13"/>
  <c r="Q26" i="13"/>
  <c r="V26" i="13" s="1"/>
  <c r="AD47" i="13"/>
  <c r="R23" i="13"/>
  <c r="W23" i="13" s="1"/>
  <c r="AD23" i="13"/>
  <c r="AD43" i="13"/>
  <c r="AE34" i="13"/>
  <c r="AE26" i="13"/>
  <c r="AE18" i="13"/>
  <c r="Q48" i="13"/>
  <c r="V48" i="13" s="1"/>
  <c r="Q35" i="13"/>
  <c r="V35" i="13" s="1"/>
  <c r="Q24" i="13"/>
  <c r="V24" i="13" s="1"/>
  <c r="AD52" i="13"/>
  <c r="AD18" i="13"/>
  <c r="AD48" i="13"/>
  <c r="R38" i="13"/>
  <c r="W38" i="13" s="1"/>
  <c r="R30" i="13"/>
  <c r="W30" i="13" s="1"/>
  <c r="R22" i="13"/>
  <c r="W22" i="13" s="1"/>
  <c r="AE13" i="13"/>
  <c r="R39" i="13"/>
  <c r="W39" i="13" s="1"/>
  <c r="AE28" i="13"/>
  <c r="R18" i="13"/>
  <c r="W18" i="13" s="1"/>
  <c r="AD39" i="13"/>
  <c r="AE60" i="13"/>
  <c r="AE25" i="11"/>
  <c r="R18" i="11"/>
  <c r="W18" i="11" s="1"/>
  <c r="AD32" i="11"/>
  <c r="R42" i="13"/>
  <c r="W42" i="13" s="1"/>
  <c r="Q23" i="11"/>
  <c r="V23" i="11" s="1"/>
  <c r="K14" i="2"/>
  <c r="R60" i="9"/>
  <c r="W60" i="9" s="1"/>
  <c r="I14" i="2" s="1"/>
  <c r="G11" i="28" s="1"/>
  <c r="AD52" i="16"/>
  <c r="R45" i="16"/>
  <c r="W45" i="16" s="1"/>
  <c r="AD33" i="16"/>
  <c r="Q19" i="16"/>
  <c r="V19" i="16" s="1"/>
  <c r="R43" i="16"/>
  <c r="W43" i="16" s="1"/>
  <c r="R52" i="16"/>
  <c r="W52" i="16" s="1"/>
  <c r="AD35" i="16"/>
  <c r="R23" i="16"/>
  <c r="W23" i="16" s="1"/>
  <c r="AD53" i="16"/>
  <c r="AE34" i="16"/>
  <c r="AD40" i="16"/>
  <c r="AD41" i="16"/>
  <c r="AD29" i="16"/>
  <c r="R26" i="16"/>
  <c r="W26" i="16" s="1"/>
  <c r="R27" i="16"/>
  <c r="W27" i="16" s="1"/>
  <c r="AE50" i="16"/>
  <c r="Q33" i="16"/>
  <c r="V33" i="16" s="1"/>
  <c r="Q30" i="16"/>
  <c r="V30" i="16" s="1"/>
  <c r="R39" i="16"/>
  <c r="W39" i="16" s="1"/>
  <c r="AD16" i="16"/>
  <c r="K22" i="2"/>
  <c r="AD20" i="16"/>
  <c r="AE24" i="16"/>
  <c r="AD34" i="16"/>
  <c r="Q35" i="16"/>
  <c r="V35" i="16" s="1"/>
  <c r="AD39" i="16"/>
  <c r="R40" i="16"/>
  <c r="W40" i="16" s="1"/>
  <c r="Q50" i="16"/>
  <c r="V50" i="16" s="1"/>
  <c r="R34" i="16"/>
  <c r="W34" i="16" s="1"/>
  <c r="R18" i="16"/>
  <c r="W18" i="16" s="1"/>
  <c r="R35" i="16"/>
  <c r="W35" i="16" s="1"/>
  <c r="R19" i="16"/>
  <c r="W19" i="16" s="1"/>
  <c r="R53" i="16"/>
  <c r="W53" i="16" s="1"/>
  <c r="AE36" i="16"/>
  <c r="Q17" i="16"/>
  <c r="V17" i="16" s="1"/>
  <c r="AE51" i="16"/>
  <c r="Q14" i="16"/>
  <c r="V14" i="16" s="1"/>
  <c r="Q46" i="16"/>
  <c r="V46" i="16" s="1"/>
  <c r="AD59" i="16"/>
  <c r="R31" i="16"/>
  <c r="W31" i="16" s="1"/>
  <c r="AE61" i="16"/>
  <c r="AD61" i="16"/>
  <c r="Q61" i="16"/>
  <c r="V61" i="16" s="1"/>
  <c r="H22" i="2" s="1"/>
  <c r="AE25" i="15"/>
  <c r="AE54" i="15"/>
  <c r="AE26" i="15"/>
  <c r="AD46" i="15"/>
  <c r="Q53" i="15"/>
  <c r="V53" i="15" s="1"/>
  <c r="AE48" i="15"/>
  <c r="R60" i="15"/>
  <c r="W60" i="15" s="1"/>
  <c r="R38" i="15"/>
  <c r="W38" i="15" s="1"/>
  <c r="R28" i="15"/>
  <c r="W28" i="15" s="1"/>
  <c r="R20" i="15"/>
  <c r="W20" i="15" s="1"/>
  <c r="AD45" i="15"/>
  <c r="AE36" i="15"/>
  <c r="AE20" i="15"/>
  <c r="Q50" i="15"/>
  <c r="V50" i="15" s="1"/>
  <c r="Q46" i="15"/>
  <c r="V46" i="15" s="1"/>
  <c r="R41" i="15"/>
  <c r="W41" i="15" s="1"/>
  <c r="Q33" i="15"/>
  <c r="V33" i="15" s="1"/>
  <c r="Q25" i="15"/>
  <c r="V25" i="15" s="1"/>
  <c r="Q17" i="15"/>
  <c r="V17" i="15" s="1"/>
  <c r="R52" i="15"/>
  <c r="W52" i="15" s="1"/>
  <c r="AD18" i="15"/>
  <c r="AE38" i="15"/>
  <c r="AD21" i="15"/>
  <c r="AD36" i="15"/>
  <c r="AD49" i="15"/>
  <c r="R37" i="15"/>
  <c r="W37" i="15" s="1"/>
  <c r="R19" i="15"/>
  <c r="W19" i="15" s="1"/>
  <c r="R46" i="15"/>
  <c r="W46" i="15" s="1"/>
  <c r="R33" i="15"/>
  <c r="W33" i="15" s="1"/>
  <c r="R24" i="15"/>
  <c r="W24" i="15" s="1"/>
  <c r="R16" i="15"/>
  <c r="W16" i="15" s="1"/>
  <c r="Q40" i="15"/>
  <c r="V40" i="15" s="1"/>
  <c r="Q32" i="15"/>
  <c r="V32" i="15" s="1"/>
  <c r="Q24" i="15"/>
  <c r="V24" i="15" s="1"/>
  <c r="Q16" i="15"/>
  <c r="V16" i="15" s="1"/>
  <c r="Q54" i="15"/>
  <c r="V54" i="15" s="1"/>
  <c r="AE31" i="15"/>
  <c r="AD28" i="15"/>
  <c r="AD16" i="15"/>
  <c r="AE52" i="15"/>
  <c r="AD35" i="15"/>
  <c r="AE33" i="15"/>
  <c r="AE39" i="15"/>
  <c r="AE23" i="15"/>
  <c r="AD50" i="15"/>
  <c r="AE18" i="15"/>
  <c r="AD22" i="15"/>
  <c r="AE42" i="15"/>
  <c r="AD13" i="15"/>
  <c r="AE30" i="15"/>
  <c r="AE15" i="15"/>
  <c r="AE49" i="15"/>
  <c r="AE51" i="15"/>
  <c r="AD29" i="15"/>
  <c r="AD24" i="15"/>
  <c r="AD60" i="15"/>
  <c r="R50" i="15"/>
  <c r="W50" i="15" s="1"/>
  <c r="AE40" i="15"/>
  <c r="R36" i="15"/>
  <c r="W36" i="15" s="1"/>
  <c r="R29" i="15"/>
  <c r="W29" i="15" s="1"/>
  <c r="R27" i="15"/>
  <c r="W27" i="15" s="1"/>
  <c r="R22" i="15"/>
  <c r="W22" i="15" s="1"/>
  <c r="AE17" i="15"/>
  <c r="R49" i="15"/>
  <c r="W49" i="15" s="1"/>
  <c r="R44" i="15"/>
  <c r="W44" i="15" s="1"/>
  <c r="R39" i="15"/>
  <c r="W39" i="15" s="1"/>
  <c r="AE29" i="15"/>
  <c r="R23" i="15"/>
  <c r="W23" i="15" s="1"/>
  <c r="AE14" i="15"/>
  <c r="Q60" i="15"/>
  <c r="V60" i="15" s="1"/>
  <c r="Q49" i="15"/>
  <c r="V49" i="15" s="1"/>
  <c r="Q47" i="15"/>
  <c r="V47" i="15" s="1"/>
  <c r="R45" i="15"/>
  <c r="W45" i="15" s="1"/>
  <c r="Q42" i="15"/>
  <c r="V42" i="15" s="1"/>
  <c r="Q39" i="15"/>
  <c r="V39" i="15" s="1"/>
  <c r="Q35" i="15"/>
  <c r="V35" i="15" s="1"/>
  <c r="Q31" i="15"/>
  <c r="V31" i="15" s="1"/>
  <c r="Q27" i="15"/>
  <c r="V27" i="15" s="1"/>
  <c r="Q23" i="15"/>
  <c r="V23" i="15" s="1"/>
  <c r="Q19" i="15"/>
  <c r="V19" i="15" s="1"/>
  <c r="Q15" i="15"/>
  <c r="V15" i="15" s="1"/>
  <c r="R51" i="15"/>
  <c r="W51" i="15" s="1"/>
  <c r="R54" i="15"/>
  <c r="W54" i="15" s="1"/>
  <c r="AD34" i="15"/>
  <c r="AD15" i="15"/>
  <c r="AE22" i="15"/>
  <c r="AD54" i="15"/>
  <c r="AD53" i="15"/>
  <c r="AE60" i="15"/>
  <c r="AD14" i="15"/>
  <c r="AD17" i="15"/>
  <c r="AD51" i="15"/>
  <c r="AD47" i="15"/>
  <c r="Q41" i="15"/>
  <c r="V41" i="15" s="1"/>
  <c r="R35" i="15"/>
  <c r="W35" i="15" s="1"/>
  <c r="R21" i="15"/>
  <c r="W21" i="15" s="1"/>
  <c r="R14" i="15"/>
  <c r="W14" i="15" s="1"/>
  <c r="R47" i="15"/>
  <c r="W47" i="15" s="1"/>
  <c r="Q45" i="15"/>
  <c r="V45" i="15" s="1"/>
  <c r="R34" i="15"/>
  <c r="W34" i="15" s="1"/>
  <c r="R32" i="15"/>
  <c r="W32" i="15" s="1"/>
  <c r="R26" i="15"/>
  <c r="W26" i="15" s="1"/>
  <c r="AE21" i="15"/>
  <c r="R17" i="15"/>
  <c r="W17" i="15" s="1"/>
  <c r="R13" i="15"/>
  <c r="W13" i="15" s="1"/>
  <c r="Q44" i="15"/>
  <c r="V44" i="15" s="1"/>
  <c r="Q38" i="15"/>
  <c r="V38" i="15" s="1"/>
  <c r="Q34" i="15"/>
  <c r="V34" i="15" s="1"/>
  <c r="Q30" i="15"/>
  <c r="V30" i="15" s="1"/>
  <c r="Q26" i="15"/>
  <c r="V26" i="15" s="1"/>
  <c r="Q22" i="15"/>
  <c r="V22" i="15" s="1"/>
  <c r="Q18" i="15"/>
  <c r="V18" i="15" s="1"/>
  <c r="Q14" i="15"/>
  <c r="V14" i="15" s="1"/>
  <c r="Q52" i="15"/>
  <c r="V52" i="15" s="1"/>
  <c r="AD42" i="15"/>
  <c r="AD39" i="15"/>
  <c r="AD23" i="15"/>
  <c r="AE44" i="15"/>
  <c r="AE41" i="15"/>
  <c r="AE43" i="15"/>
  <c r="Q60" i="13"/>
  <c r="V60" i="13" s="1"/>
  <c r="AE45" i="13"/>
  <c r="Q41" i="13"/>
  <c r="V41" i="13" s="1"/>
  <c r="AD36" i="13"/>
  <c r="AE32" i="13"/>
  <c r="AD28" i="13"/>
  <c r="AE24" i="13"/>
  <c r="AD20" i="13"/>
  <c r="R16" i="13"/>
  <c r="W16" i="13" s="1"/>
  <c r="AD51" i="13"/>
  <c r="Q46" i="13"/>
  <c r="V46" i="13" s="1"/>
  <c r="R37" i="13"/>
  <c r="W37" i="13" s="1"/>
  <c r="Q32" i="13"/>
  <c r="V32" i="13" s="1"/>
  <c r="Q27" i="13"/>
  <c r="V27" i="13" s="1"/>
  <c r="R21" i="13"/>
  <c r="W21" i="13" s="1"/>
  <c r="R15" i="13"/>
  <c r="W15" i="13" s="1"/>
  <c r="AD16" i="13"/>
  <c r="AE48" i="13"/>
  <c r="AD31" i="13"/>
  <c r="AD50" i="13"/>
  <c r="Q45" i="13"/>
  <c r="V45" i="13" s="1"/>
  <c r="AE40" i="13"/>
  <c r="Q36" i="13"/>
  <c r="V36" i="13" s="1"/>
  <c r="R32" i="13"/>
  <c r="W32" i="13" s="1"/>
  <c r="Q28" i="13"/>
  <c r="V28" i="13" s="1"/>
  <c r="R24" i="13"/>
  <c r="W24" i="13" s="1"/>
  <c r="Q20" i="13"/>
  <c r="V20" i="13" s="1"/>
  <c r="AE15" i="13"/>
  <c r="Q52" i="13"/>
  <c r="V52" i="13" s="1"/>
  <c r="AE44" i="13"/>
  <c r="AE36" i="13"/>
  <c r="R31" i="13"/>
  <c r="W31" i="13" s="1"/>
  <c r="R26" i="13"/>
  <c r="W26" i="13" s="1"/>
  <c r="AE20" i="13"/>
  <c r="AE14" i="13"/>
  <c r="AD21" i="13"/>
  <c r="AE49" i="13"/>
  <c r="AD37" i="13"/>
  <c r="AE54" i="13"/>
  <c r="Q50" i="13"/>
  <c r="V50" i="13" s="1"/>
  <c r="AE47" i="13"/>
  <c r="AD44" i="13"/>
  <c r="Q42" i="13"/>
  <c r="V42" i="13" s="1"/>
  <c r="AE39" i="13"/>
  <c r="AE37" i="13"/>
  <c r="AD35" i="13"/>
  <c r="AD33" i="13"/>
  <c r="AE31" i="13"/>
  <c r="AE29" i="13"/>
  <c r="AD27" i="13"/>
  <c r="AD25" i="13"/>
  <c r="AE23" i="13"/>
  <c r="AE21" i="13"/>
  <c r="AD19" i="13"/>
  <c r="R17" i="13"/>
  <c r="W17" i="13" s="1"/>
  <c r="Q15" i="13"/>
  <c r="V15" i="13" s="1"/>
  <c r="Q13" i="13"/>
  <c r="V13" i="13" s="1"/>
  <c r="AE52" i="13"/>
  <c r="Q47" i="13"/>
  <c r="V47" i="13" s="1"/>
  <c r="AE43" i="13"/>
  <c r="AE38" i="13"/>
  <c r="R36" i="13"/>
  <c r="W36" i="13" s="1"/>
  <c r="AE33" i="13"/>
  <c r="AE30" i="13"/>
  <c r="R28" i="13"/>
  <c r="W28" i="13" s="1"/>
  <c r="AE25" i="13"/>
  <c r="AE22" i="13"/>
  <c r="R20" i="13"/>
  <c r="W20" i="13" s="1"/>
  <c r="Q17" i="13"/>
  <c r="V17" i="13" s="1"/>
  <c r="Q14" i="13"/>
  <c r="V14" i="13" s="1"/>
  <c r="Q54" i="13"/>
  <c r="V54" i="13" s="1"/>
  <c r="AD26" i="13"/>
  <c r="AD40" i="13"/>
  <c r="AD13" i="13"/>
  <c r="AD24" i="13"/>
  <c r="AD42" i="13"/>
  <c r="AD60" i="13"/>
  <c r="AD49" i="13"/>
  <c r="AE46" i="13"/>
  <c r="Q44" i="13"/>
  <c r="V44" i="13" s="1"/>
  <c r="AE41" i="13"/>
  <c r="Q39" i="13"/>
  <c r="V39" i="13" s="1"/>
  <c r="Q37" i="13"/>
  <c r="V37" i="13" s="1"/>
  <c r="R35" i="13"/>
  <c r="W35" i="13" s="1"/>
  <c r="R33" i="13"/>
  <c r="W33" i="13" s="1"/>
  <c r="Q31" i="13"/>
  <c r="V31" i="13" s="1"/>
  <c r="Q29" i="13"/>
  <c r="V29" i="13" s="1"/>
  <c r="R27" i="13"/>
  <c r="W27" i="13" s="1"/>
  <c r="R25" i="13"/>
  <c r="W25" i="13" s="1"/>
  <c r="Q23" i="13"/>
  <c r="V23" i="13" s="1"/>
  <c r="Q21" i="13"/>
  <c r="V21" i="13" s="1"/>
  <c r="R19" i="13"/>
  <c r="W19" i="13" s="1"/>
  <c r="AE16" i="13"/>
  <c r="AD14" i="13"/>
  <c r="Q51" i="13"/>
  <c r="V51" i="13" s="1"/>
  <c r="AE53" i="13"/>
  <c r="AD46" i="13"/>
  <c r="Q43" i="13"/>
  <c r="V43" i="13" s="1"/>
  <c r="Q38" i="13"/>
  <c r="V38" i="13" s="1"/>
  <c r="AE35" i="13"/>
  <c r="Q33" i="13"/>
  <c r="V33" i="13" s="1"/>
  <c r="Q30" i="13"/>
  <c r="V30" i="13" s="1"/>
  <c r="AE27" i="13"/>
  <c r="Q25" i="13"/>
  <c r="V25" i="13" s="1"/>
  <c r="Q22" i="13"/>
  <c r="V22" i="13" s="1"/>
  <c r="AE19" i="13"/>
  <c r="Q16" i="13"/>
  <c r="V16" i="13" s="1"/>
  <c r="R13" i="13"/>
  <c r="W13" i="13" s="1"/>
  <c r="AE51" i="13"/>
  <c r="AD32" i="13"/>
  <c r="AD41" i="13"/>
  <c r="AD15" i="13"/>
  <c r="AD29" i="13"/>
  <c r="AD45" i="13"/>
  <c r="AD17" i="13"/>
  <c r="AE17" i="13"/>
  <c r="AE13" i="11"/>
  <c r="R45" i="11"/>
  <c r="W45" i="11" s="1"/>
  <c r="AE38" i="11"/>
  <c r="AD48" i="11"/>
  <c r="AE49" i="11"/>
  <c r="R47" i="13"/>
  <c r="W47" i="13" s="1"/>
  <c r="AE23" i="11"/>
  <c r="AD15" i="11"/>
  <c r="AD24" i="11"/>
  <c r="AD30" i="11"/>
  <c r="AD18" i="11"/>
  <c r="Q26" i="11"/>
  <c r="V26" i="11" s="1"/>
  <c r="R50" i="11"/>
  <c r="W50" i="11" s="1"/>
  <c r="R29" i="11"/>
  <c r="W29" i="11" s="1"/>
  <c r="R51" i="11"/>
  <c r="W51" i="11" s="1"/>
  <c r="Q39" i="11"/>
  <c r="V39" i="11" s="1"/>
  <c r="R60" i="12"/>
  <c r="R40" i="11"/>
  <c r="W40" i="11" s="1"/>
  <c r="R20" i="11"/>
  <c r="W20" i="11" s="1"/>
  <c r="AD31" i="11"/>
  <c r="AE62" i="11"/>
  <c r="AD62" i="11"/>
  <c r="R62" i="11"/>
  <c r="W62" i="11" s="1"/>
  <c r="I17" i="2" s="1"/>
  <c r="AD19" i="11"/>
  <c r="AD50" i="11"/>
  <c r="AD41" i="11"/>
  <c r="AE39" i="11"/>
  <c r="AD40" i="11"/>
  <c r="AD42" i="11"/>
  <c r="AE53" i="11"/>
  <c r="AD38" i="11"/>
  <c r="AD21" i="11"/>
  <c r="AD29" i="11"/>
  <c r="AD53" i="11"/>
  <c r="Q34" i="11"/>
  <c r="V34" i="11" s="1"/>
  <c r="Q18" i="11"/>
  <c r="V18" i="11" s="1"/>
  <c r="R46" i="12"/>
  <c r="Q45" i="11"/>
  <c r="V45" i="11" s="1"/>
  <c r="R34" i="11"/>
  <c r="W34" i="11" s="1"/>
  <c r="AE22" i="11"/>
  <c r="R50" i="13"/>
  <c r="W50" i="13" s="1"/>
  <c r="R51" i="13"/>
  <c r="W51" i="13" s="1"/>
  <c r="Q44" i="11"/>
  <c r="V44" i="11" s="1"/>
  <c r="Q31" i="11"/>
  <c r="V31" i="11" s="1"/>
  <c r="Q15" i="11"/>
  <c r="V15" i="11" s="1"/>
  <c r="R43" i="12"/>
  <c r="AE45" i="11"/>
  <c r="R35" i="11"/>
  <c r="W35" i="11" s="1"/>
  <c r="R24" i="11"/>
  <c r="W24" i="11" s="1"/>
  <c r="R15" i="11"/>
  <c r="W15" i="11" s="1"/>
  <c r="AD51" i="11"/>
  <c r="AD33" i="11"/>
  <c r="K17" i="2"/>
  <c r="AD28" i="11"/>
  <c r="AE35" i="11"/>
  <c r="AE62" i="10"/>
  <c r="K16" i="2"/>
  <c r="Q62" i="10"/>
  <c r="V62" i="10" s="1"/>
  <c r="H16" i="2" s="1"/>
  <c r="AE60" i="9"/>
  <c r="AD60" i="9"/>
  <c r="J11" i="2"/>
  <c r="AE52" i="11"/>
  <c r="AE37" i="11"/>
  <c r="AE43" i="11"/>
  <c r="AE27" i="11"/>
  <c r="AE16" i="11"/>
  <c r="AD46" i="11"/>
  <c r="AD37" i="11"/>
  <c r="AD43" i="11"/>
  <c r="AD27" i="11"/>
  <c r="AD16" i="11"/>
  <c r="AE46" i="11"/>
  <c r="AD23" i="11"/>
  <c r="AD39" i="11"/>
  <c r="AD25" i="11"/>
  <c r="AE41" i="11"/>
  <c r="R54" i="13"/>
  <c r="W54" i="13" s="1"/>
  <c r="R52" i="13"/>
  <c r="W52" i="13" s="1"/>
  <c r="R52" i="11"/>
  <c r="W52" i="11" s="1"/>
  <c r="R44" i="13"/>
  <c r="W44" i="13" s="1"/>
  <c r="R49" i="13"/>
  <c r="W49" i="13" s="1"/>
  <c r="R14" i="11"/>
  <c r="W14" i="11" s="1"/>
  <c r="R16" i="11"/>
  <c r="W16" i="11" s="1"/>
  <c r="R19" i="11"/>
  <c r="W19" i="11" s="1"/>
  <c r="AE20" i="11"/>
  <c r="R23" i="11"/>
  <c r="W23" i="11" s="1"/>
  <c r="AE24" i="11"/>
  <c r="R28" i="11"/>
  <c r="W28" i="11" s="1"/>
  <c r="R31" i="11"/>
  <c r="W31" i="11" s="1"/>
  <c r="AE32" i="11"/>
  <c r="R36" i="11"/>
  <c r="W36" i="11" s="1"/>
  <c r="R39" i="11"/>
  <c r="W39" i="11" s="1"/>
  <c r="AE40" i="11"/>
  <c r="R44" i="11"/>
  <c r="W44" i="11" s="1"/>
  <c r="R47" i="11"/>
  <c r="W47" i="11" s="1"/>
  <c r="AE48" i="11"/>
  <c r="R60" i="11"/>
  <c r="W60" i="11" s="1"/>
  <c r="R41" i="12"/>
  <c r="R45" i="12"/>
  <c r="R49" i="12"/>
  <c r="R41" i="13"/>
  <c r="W41" i="13" s="1"/>
  <c r="Q13" i="11"/>
  <c r="V13" i="11" s="1"/>
  <c r="Q17" i="11"/>
  <c r="V17" i="11" s="1"/>
  <c r="Q21" i="11"/>
  <c r="V21" i="11" s="1"/>
  <c r="Q25" i="11"/>
  <c r="V25" i="11" s="1"/>
  <c r="Q29" i="11"/>
  <c r="V29" i="11" s="1"/>
  <c r="Q33" i="11"/>
  <c r="V33" i="11" s="1"/>
  <c r="Q37" i="11"/>
  <c r="V37" i="11" s="1"/>
  <c r="R41" i="11"/>
  <c r="W41" i="11" s="1"/>
  <c r="R43" i="11"/>
  <c r="W43" i="11" s="1"/>
  <c r="Q46" i="11"/>
  <c r="V46" i="11" s="1"/>
  <c r="AD47" i="11"/>
  <c r="Q50" i="11"/>
  <c r="V50" i="11" s="1"/>
  <c r="R53" i="12"/>
  <c r="R53" i="13"/>
  <c r="W53" i="13" s="1"/>
  <c r="Q52" i="11"/>
  <c r="V52" i="11" s="1"/>
  <c r="R40" i="12"/>
  <c r="R48" i="13"/>
  <c r="W48" i="13" s="1"/>
  <c r="R13" i="11"/>
  <c r="W13" i="11" s="1"/>
  <c r="R17" i="11"/>
  <c r="W17" i="11" s="1"/>
  <c r="AE18" i="11"/>
  <c r="R22" i="11"/>
  <c r="W22" i="11" s="1"/>
  <c r="R25" i="11"/>
  <c r="W25" i="11" s="1"/>
  <c r="AE26" i="11"/>
  <c r="R30" i="11"/>
  <c r="W30" i="11" s="1"/>
  <c r="R33" i="11"/>
  <c r="W33" i="11" s="1"/>
  <c r="AE34" i="11"/>
  <c r="R38" i="11"/>
  <c r="W38" i="11" s="1"/>
  <c r="Q41" i="11"/>
  <c r="V41" i="11" s="1"/>
  <c r="AE42" i="11"/>
  <c r="R46" i="11"/>
  <c r="W46" i="11" s="1"/>
  <c r="R49" i="11"/>
  <c r="W49" i="11" s="1"/>
  <c r="AE60" i="11"/>
  <c r="R44" i="12"/>
  <c r="R48" i="12"/>
  <c r="R40" i="13"/>
  <c r="W40" i="13" s="1"/>
  <c r="R45" i="13"/>
  <c r="W45" i="13" s="1"/>
  <c r="Q16" i="11"/>
  <c r="V16" i="11" s="1"/>
  <c r="Q20" i="11"/>
  <c r="V20" i="11" s="1"/>
  <c r="Q24" i="11"/>
  <c r="V24" i="11" s="1"/>
  <c r="Q28" i="11"/>
  <c r="V28" i="11" s="1"/>
  <c r="Q32" i="11"/>
  <c r="V32" i="11" s="1"/>
  <c r="Q36" i="11"/>
  <c r="V36" i="11" s="1"/>
  <c r="Q40" i="11"/>
  <c r="V40" i="11" s="1"/>
  <c r="Q48" i="11"/>
  <c r="V48" i="11" s="1"/>
  <c r="AD49" i="11"/>
  <c r="Q54" i="11"/>
  <c r="V54" i="11" s="1"/>
  <c r="R51" i="12"/>
  <c r="Q62" i="13"/>
  <c r="V62" i="13" s="1"/>
  <c r="H18" i="2" s="1"/>
  <c r="AE62" i="13"/>
  <c r="AE49" i="16"/>
  <c r="AD24" i="16"/>
  <c r="AE14" i="16"/>
  <c r="R13" i="16"/>
  <c r="W13" i="16" s="1"/>
  <c r="AE15" i="16"/>
  <c r="R21" i="16"/>
  <c r="W21" i="16" s="1"/>
  <c r="AE23" i="16"/>
  <c r="R29" i="16"/>
  <c r="W29" i="16" s="1"/>
  <c r="AE31" i="16"/>
  <c r="R37" i="16"/>
  <c r="W37" i="16" s="1"/>
  <c r="AE39" i="16"/>
  <c r="R47" i="16"/>
  <c r="W47" i="16" s="1"/>
  <c r="R46" i="16"/>
  <c r="W46" i="16" s="1"/>
  <c r="AE41" i="16"/>
  <c r="AD25" i="16"/>
  <c r="AD43" i="16"/>
  <c r="R42" i="16"/>
  <c r="W42" i="16" s="1"/>
  <c r="Q34" i="16"/>
  <c r="V34" i="16" s="1"/>
  <c r="Q26" i="16"/>
  <c r="V26" i="16" s="1"/>
  <c r="Q18" i="16"/>
  <c r="V18" i="16" s="1"/>
  <c r="Q59" i="16"/>
  <c r="V59" i="16" s="1"/>
  <c r="AE47" i="16"/>
  <c r="AD27" i="16"/>
  <c r="AE59" i="16"/>
  <c r="Q45" i="16"/>
  <c r="V45" i="16" s="1"/>
  <c r="Q37" i="16"/>
  <c r="V37" i="16" s="1"/>
  <c r="Q29" i="16"/>
  <c r="V29" i="16" s="1"/>
  <c r="Q21" i="16"/>
  <c r="V21" i="16" s="1"/>
  <c r="Q13" i="16"/>
  <c r="V13" i="16" s="1"/>
  <c r="AD30" i="16"/>
  <c r="AD14" i="16"/>
  <c r="AD42" i="16"/>
  <c r="AE28" i="16"/>
  <c r="AD32" i="16"/>
  <c r="AE44" i="16"/>
  <c r="AE38" i="16"/>
  <c r="Q53" i="16"/>
  <c r="V53" i="16" s="1"/>
  <c r="Q51" i="16"/>
  <c r="V51" i="16" s="1"/>
  <c r="AD51" i="16"/>
  <c r="R17" i="16"/>
  <c r="W17" i="16" s="1"/>
  <c r="AE19" i="16"/>
  <c r="R25" i="16"/>
  <c r="W25" i="16" s="1"/>
  <c r="AE27" i="16"/>
  <c r="R33" i="16"/>
  <c r="W33" i="16" s="1"/>
  <c r="AE35" i="16"/>
  <c r="Q40" i="16"/>
  <c r="V40" i="16" s="1"/>
  <c r="R49" i="16"/>
  <c r="W49" i="16" s="1"/>
  <c r="R16" i="16"/>
  <c r="W16" i="16" s="1"/>
  <c r="R20" i="16"/>
  <c r="W20" i="16" s="1"/>
  <c r="R24" i="16"/>
  <c r="W24" i="16" s="1"/>
  <c r="R28" i="16"/>
  <c r="W28" i="16" s="1"/>
  <c r="R32" i="16"/>
  <c r="W32" i="16" s="1"/>
  <c r="R36" i="16"/>
  <c r="W36" i="16" s="1"/>
  <c r="R41" i="16"/>
  <c r="W41" i="16" s="1"/>
  <c r="Q44" i="16"/>
  <c r="V44" i="16" s="1"/>
  <c r="R59" i="16"/>
  <c r="W59" i="16" s="1"/>
  <c r="Q49" i="16"/>
  <c r="V49" i="16" s="1"/>
  <c r="AD37" i="16"/>
  <c r="AD21" i="16"/>
  <c r="R44" i="16"/>
  <c r="W44" i="16" s="1"/>
  <c r="Q36" i="16"/>
  <c r="V36" i="16" s="1"/>
  <c r="Q28" i="16"/>
  <c r="V28" i="16" s="1"/>
  <c r="Q20" i="16"/>
  <c r="V20" i="16" s="1"/>
  <c r="AE43" i="16"/>
  <c r="AD31" i="16"/>
  <c r="AD15" i="16"/>
  <c r="Q47" i="16"/>
  <c r="V47" i="16" s="1"/>
  <c r="Q39" i="16"/>
  <c r="V39" i="16" s="1"/>
  <c r="Q31" i="16"/>
  <c r="V31" i="16" s="1"/>
  <c r="Q23" i="16"/>
  <c r="V23" i="16" s="1"/>
  <c r="Q15" i="16"/>
  <c r="V15" i="16" s="1"/>
  <c r="AE46" i="16"/>
  <c r="AD26" i="16"/>
  <c r="AE52" i="16"/>
  <c r="AD50" i="16"/>
  <c r="AE32" i="16"/>
  <c r="AE16" i="16"/>
  <c r="AE42" i="16"/>
  <c r="AE26" i="16"/>
  <c r="AE48" i="16"/>
  <c r="AD36" i="16"/>
  <c r="AE18" i="16"/>
  <c r="AE21" i="17"/>
  <c r="R49" i="17"/>
  <c r="W49" i="17" s="1"/>
  <c r="R13" i="17"/>
  <c r="W13" i="17" s="1"/>
  <c r="R17" i="17"/>
  <c r="W17" i="17" s="1"/>
  <c r="AE19" i="17"/>
  <c r="R23" i="17"/>
  <c r="W23" i="17" s="1"/>
  <c r="R25" i="17"/>
  <c r="W25" i="17" s="1"/>
  <c r="R29" i="17"/>
  <c r="W29" i="17" s="1"/>
  <c r="R36" i="17"/>
  <c r="W36" i="17" s="1"/>
  <c r="R39" i="17"/>
  <c r="W39" i="17" s="1"/>
  <c r="R41" i="17"/>
  <c r="W41" i="17" s="1"/>
  <c r="AD46" i="17"/>
  <c r="R52" i="17"/>
  <c r="W52" i="17" s="1"/>
  <c r="R50" i="17"/>
  <c r="W50" i="17" s="1"/>
  <c r="Q17" i="17"/>
  <c r="V17" i="17" s="1"/>
  <c r="Q31" i="17"/>
  <c r="V31" i="17" s="1"/>
  <c r="R40" i="17"/>
  <c r="W40" i="17" s="1"/>
  <c r="Q46" i="17"/>
  <c r="V46" i="17" s="1"/>
  <c r="Q13" i="17"/>
  <c r="V13" i="17" s="1"/>
  <c r="Q22" i="17"/>
  <c r="V22" i="17" s="1"/>
  <c r="Q30" i="17"/>
  <c r="V30" i="17" s="1"/>
  <c r="AD38" i="17"/>
  <c r="AE44" i="17"/>
  <c r="Q59" i="17"/>
  <c r="V59" i="17" s="1"/>
  <c r="AD52" i="17"/>
  <c r="AD59" i="17"/>
  <c r="AD51" i="17"/>
  <c r="R15" i="17"/>
  <c r="W15" i="17" s="1"/>
  <c r="R20" i="17"/>
  <c r="W20" i="17" s="1"/>
  <c r="R26" i="17"/>
  <c r="W26" i="17" s="1"/>
  <c r="R30" i="17"/>
  <c r="W30" i="17" s="1"/>
  <c r="R33" i="17"/>
  <c r="W33" i="17" s="1"/>
  <c r="R35" i="17"/>
  <c r="W35" i="17" s="1"/>
  <c r="AE38" i="17"/>
  <c r="Q44" i="17"/>
  <c r="V44" i="17" s="1"/>
  <c r="R46" i="17"/>
  <c r="W46" i="17" s="1"/>
  <c r="R59" i="17"/>
  <c r="W59" i="17" s="1"/>
  <c r="Q15" i="17"/>
  <c r="V15" i="17" s="1"/>
  <c r="Q23" i="17"/>
  <c r="V23" i="17" s="1"/>
  <c r="Q26" i="17"/>
  <c r="V26" i="17" s="1"/>
  <c r="Q33" i="17"/>
  <c r="V33" i="17" s="1"/>
  <c r="Q37" i="17"/>
  <c r="V37" i="17" s="1"/>
  <c r="R47" i="17"/>
  <c r="W47" i="17" s="1"/>
  <c r="Q14" i="17"/>
  <c r="V14" i="17" s="1"/>
  <c r="Q19" i="17"/>
  <c r="V19" i="17" s="1"/>
  <c r="Q24" i="17"/>
  <c r="V24" i="17" s="1"/>
  <c r="Q34" i="17"/>
  <c r="V34" i="17" s="1"/>
  <c r="Q38" i="17"/>
  <c r="V38" i="17" s="1"/>
  <c r="Q45" i="17"/>
  <c r="V45" i="17" s="1"/>
  <c r="AE52" i="17"/>
  <c r="AD14" i="17"/>
  <c r="AD27" i="17"/>
  <c r="AE33" i="17"/>
  <c r="AE23" i="17"/>
  <c r="AE22" i="17"/>
  <c r="AD15" i="17"/>
  <c r="AE35" i="17"/>
  <c r="AD16" i="17"/>
  <c r="AE31" i="17"/>
  <c r="AE20" i="17"/>
  <c r="AD37" i="17"/>
  <c r="AE18" i="17"/>
  <c r="AD33" i="17"/>
  <c r="AD23" i="17"/>
  <c r="AD22" i="17"/>
  <c r="AE15" i="17"/>
  <c r="AD35" i="17"/>
  <c r="AE16" i="17"/>
  <c r="AD31" i="17"/>
  <c r="AD20" i="17"/>
  <c r="AE37" i="17"/>
  <c r="AD18" i="17"/>
  <c r="AE30" i="17"/>
  <c r="AE48" i="17"/>
  <c r="AE40" i="17"/>
  <c r="AD42" i="17"/>
  <c r="AE17" i="17"/>
  <c r="AE47" i="17"/>
  <c r="AD39" i="17"/>
  <c r="AE29" i="17"/>
  <c r="AE50" i="17"/>
  <c r="AE25" i="17"/>
  <c r="AD32" i="17"/>
  <c r="AD36" i="17"/>
  <c r="AD21" i="17"/>
  <c r="AD45" i="16"/>
  <c r="AD52" i="11"/>
  <c r="AE33" i="11"/>
  <c r="AD54" i="11"/>
  <c r="AE31" i="11"/>
  <c r="AD13" i="11"/>
  <c r="AD36" i="11"/>
  <c r="AD14" i="11"/>
  <c r="R54" i="11"/>
  <c r="W54" i="11" s="1"/>
  <c r="AD20" i="11"/>
  <c r="AE15" i="11"/>
  <c r="AD45" i="11"/>
  <c r="AD34" i="11"/>
  <c r="AD26" i="11"/>
  <c r="AD17" i="11"/>
  <c r="R52" i="12"/>
  <c r="AD22" i="11"/>
  <c r="Q60" i="11"/>
  <c r="V60" i="11" s="1"/>
  <c r="Q49" i="11"/>
  <c r="V49" i="11" s="1"/>
  <c r="Q38" i="11"/>
  <c r="V38" i="11" s="1"/>
  <c r="Q30" i="11"/>
  <c r="V30" i="11" s="1"/>
  <c r="Q22" i="11"/>
  <c r="V22" i="11" s="1"/>
  <c r="Q14" i="11"/>
  <c r="V14" i="11" s="1"/>
  <c r="R50" i="12"/>
  <c r="R42" i="12"/>
  <c r="AE47" i="11"/>
  <c r="R42" i="11"/>
  <c r="W42" i="11" s="1"/>
  <c r="R37" i="11"/>
  <c r="W37" i="11" s="1"/>
  <c r="AE30" i="11"/>
  <c r="R26" i="11"/>
  <c r="W26" i="11" s="1"/>
  <c r="R21" i="11"/>
  <c r="W21" i="11" s="1"/>
  <c r="AE14" i="11"/>
  <c r="R46" i="13"/>
  <c r="W46" i="13" s="1"/>
  <c r="R53" i="11"/>
  <c r="W53" i="11" s="1"/>
  <c r="AD60" i="11"/>
  <c r="Q47" i="11"/>
  <c r="V47" i="11" s="1"/>
  <c r="Q42" i="11"/>
  <c r="V42" i="11" s="1"/>
  <c r="Q35" i="11"/>
  <c r="V35" i="11" s="1"/>
  <c r="Q27" i="11"/>
  <c r="V27" i="11" s="1"/>
  <c r="Q19" i="11"/>
  <c r="V19" i="11" s="1"/>
  <c r="R43" i="13"/>
  <c r="W43" i="13" s="1"/>
  <c r="R47" i="12"/>
  <c r="Q51" i="11"/>
  <c r="V51" i="11" s="1"/>
  <c r="R48" i="11"/>
  <c r="W48" i="11" s="1"/>
  <c r="Q43" i="11"/>
  <c r="V43" i="11" s="1"/>
  <c r="AE36" i="11"/>
  <c r="R32" i="11"/>
  <c r="W32" i="11" s="1"/>
  <c r="R27" i="11"/>
  <c r="W27" i="11" s="1"/>
  <c r="AE21" i="11"/>
  <c r="AE17" i="11"/>
  <c r="R60" i="13"/>
  <c r="W60" i="13" s="1"/>
  <c r="AE51" i="11"/>
  <c r="Q53" i="11"/>
  <c r="V53" i="11" s="1"/>
  <c r="AE40" i="16"/>
  <c r="AD46" i="16"/>
  <c r="AD28" i="16"/>
  <c r="AD48" i="16"/>
  <c r="AD18" i="16"/>
  <c r="Q52" i="16"/>
  <c r="V52" i="16" s="1"/>
  <c r="Q27" i="16"/>
  <c r="V27" i="16" s="1"/>
  <c r="Q43" i="16"/>
  <c r="V43" i="16" s="1"/>
  <c r="AD23" i="16"/>
  <c r="Q16" i="16"/>
  <c r="V16" i="16" s="1"/>
  <c r="Q32" i="16"/>
  <c r="V32" i="16" s="1"/>
  <c r="AD13" i="16"/>
  <c r="Q48" i="16"/>
  <c r="V48" i="16" s="1"/>
  <c r="AD47" i="16"/>
  <c r="R38" i="16"/>
  <c r="W38" i="16" s="1"/>
  <c r="R30" i="16"/>
  <c r="W30" i="16" s="1"/>
  <c r="R22" i="16"/>
  <c r="W22" i="16" s="1"/>
  <c r="R14" i="16"/>
  <c r="W14" i="16" s="1"/>
  <c r="AE37" i="16"/>
  <c r="AE29" i="16"/>
  <c r="AE21" i="16"/>
  <c r="AE13" i="16"/>
  <c r="R51" i="16"/>
  <c r="W51" i="16" s="1"/>
  <c r="AE22" i="16"/>
  <c r="AE20" i="16"/>
  <c r="AD44" i="16"/>
  <c r="AD38" i="16"/>
  <c r="Q25" i="16"/>
  <c r="V25" i="16" s="1"/>
  <c r="Q41" i="16"/>
  <c r="V41" i="16" s="1"/>
  <c r="AD19" i="16"/>
  <c r="R50" i="16"/>
  <c r="W50" i="16" s="1"/>
  <c r="Q22" i="16"/>
  <c r="V22" i="16" s="1"/>
  <c r="Q38" i="16"/>
  <c r="V38" i="16" s="1"/>
  <c r="AD17" i="16"/>
  <c r="R48" i="16"/>
  <c r="W48" i="16" s="1"/>
  <c r="Q42" i="16"/>
  <c r="V42" i="16" s="1"/>
  <c r="AE33" i="16"/>
  <c r="AE25" i="16"/>
  <c r="AE17" i="16"/>
  <c r="AE30" i="16"/>
  <c r="AE53" i="16"/>
  <c r="AE54" i="11"/>
  <c r="AD62" i="13"/>
  <c r="R62" i="13"/>
  <c r="W62" i="13" s="1"/>
  <c r="I18" i="2" s="1"/>
  <c r="AE36" i="17"/>
  <c r="AD25" i="17"/>
  <c r="AD29" i="17"/>
  <c r="AD47" i="17"/>
  <c r="AE42" i="17"/>
  <c r="AD30" i="17"/>
  <c r="AE50" i="11"/>
  <c r="AD35" i="11"/>
  <c r="AE44" i="11"/>
  <c r="AE19" i="11"/>
  <c r="AE28" i="11"/>
  <c r="AD49" i="16"/>
  <c r="AD26" i="17"/>
  <c r="AD28" i="17"/>
  <c r="AE24" i="17"/>
  <c r="AE41" i="17"/>
  <c r="AE43" i="17"/>
  <c r="AE26" i="17"/>
  <c r="AE28" i="17"/>
  <c r="AD24" i="17"/>
  <c r="AD41" i="17"/>
  <c r="AD43" i="17"/>
  <c r="AE27" i="17"/>
  <c r="AD44" i="17"/>
  <c r="Q36" i="17"/>
  <c r="V36" i="17" s="1"/>
  <c r="Q21" i="17"/>
  <c r="V21" i="17" s="1"/>
  <c r="Q51" i="17"/>
  <c r="V51" i="17" s="1"/>
  <c r="Q35" i="17"/>
  <c r="V35" i="17" s="1"/>
  <c r="Q25" i="17"/>
  <c r="V25" i="17" s="1"/>
  <c r="Q49" i="17"/>
  <c r="V49" i="17" s="1"/>
  <c r="R45" i="17"/>
  <c r="W45" i="17" s="1"/>
  <c r="R37" i="17"/>
  <c r="W37" i="17" s="1"/>
  <c r="R31" i="17"/>
  <c r="W31" i="17" s="1"/>
  <c r="R22" i="17"/>
  <c r="W22" i="17" s="1"/>
  <c r="R14" i="17"/>
  <c r="W14" i="17" s="1"/>
  <c r="R53" i="17"/>
  <c r="W53" i="17" s="1"/>
  <c r="AE46" i="17"/>
  <c r="Q32" i="17"/>
  <c r="V32" i="17" s="1"/>
  <c r="AD19" i="17"/>
  <c r="Q43" i="17"/>
  <c r="V43" i="17" s="1"/>
  <c r="Q20" i="17"/>
  <c r="V20" i="17" s="1"/>
  <c r="AE59" i="17"/>
  <c r="Q42" i="17"/>
  <c r="V42" i="17" s="1"/>
  <c r="R38" i="17"/>
  <c r="W38" i="17" s="1"/>
  <c r="R27" i="17"/>
  <c r="W27" i="17" s="1"/>
  <c r="R21" i="17"/>
  <c r="W21" i="17" s="1"/>
  <c r="R16" i="17"/>
  <c r="W16" i="17" s="1"/>
  <c r="Q53" i="17"/>
  <c r="V53" i="17" s="1"/>
  <c r="AD33" i="15"/>
  <c r="AD44" i="15"/>
  <c r="AE16" i="15"/>
  <c r="AD52" i="15"/>
  <c r="AE37" i="15"/>
  <c r="AE35" i="15"/>
  <c r="AE19" i="15"/>
  <c r="AE28" i="15"/>
  <c r="AD41" i="15"/>
  <c r="AD43" i="15"/>
  <c r="AD27" i="15"/>
  <c r="K13" i="2"/>
  <c r="Q63" i="8"/>
  <c r="V63" i="8" s="1"/>
  <c r="H13" i="2" s="1"/>
  <c r="AE63" i="8"/>
  <c r="R63" i="8"/>
  <c r="W63" i="8" s="1"/>
  <c r="I13" i="2" s="1"/>
  <c r="AD63" i="8"/>
  <c r="R13" i="10"/>
  <c r="W13" i="10" s="1"/>
  <c r="Q15" i="10"/>
  <c r="V15" i="10" s="1"/>
  <c r="Q16" i="10"/>
  <c r="V16" i="10" s="1"/>
  <c r="R14" i="10"/>
  <c r="W14" i="10" s="1"/>
  <c r="AE15" i="10"/>
  <c r="R17" i="10"/>
  <c r="W17" i="10" s="1"/>
  <c r="R18" i="10"/>
  <c r="W18" i="10" s="1"/>
  <c r="AE19" i="10"/>
  <c r="R21" i="10"/>
  <c r="W21" i="10" s="1"/>
  <c r="R22" i="10"/>
  <c r="W22" i="10" s="1"/>
  <c r="AE23" i="10"/>
  <c r="R25" i="10"/>
  <c r="W25" i="10" s="1"/>
  <c r="R26" i="10"/>
  <c r="W26" i="10" s="1"/>
  <c r="AE27" i="10"/>
  <c r="R29" i="10"/>
  <c r="W29" i="10" s="1"/>
  <c r="R30" i="10"/>
  <c r="W30" i="10" s="1"/>
  <c r="R33" i="10"/>
  <c r="W33" i="10" s="1"/>
  <c r="R34" i="10"/>
  <c r="W34" i="10" s="1"/>
  <c r="R37" i="10"/>
  <c r="W37" i="10" s="1"/>
  <c r="R38" i="10"/>
  <c r="W38" i="10" s="1"/>
  <c r="Q41" i="10"/>
  <c r="V41" i="10" s="1"/>
  <c r="Q43" i="10"/>
  <c r="V43" i="10" s="1"/>
  <c r="R44" i="10"/>
  <c r="W44" i="10" s="1"/>
  <c r="R47" i="10"/>
  <c r="W47" i="10" s="1"/>
  <c r="Q17" i="10"/>
  <c r="V17" i="10" s="1"/>
  <c r="AD19" i="10"/>
  <c r="Q25" i="10"/>
  <c r="V25" i="10" s="1"/>
  <c r="AD27" i="10"/>
  <c r="Q33" i="10"/>
  <c r="V33" i="10" s="1"/>
  <c r="Q44" i="10"/>
  <c r="V44" i="10" s="1"/>
  <c r="Q47" i="10"/>
  <c r="V47" i="10" s="1"/>
  <c r="Q49" i="10"/>
  <c r="V49" i="10" s="1"/>
  <c r="Q50" i="10"/>
  <c r="V50" i="10" s="1"/>
  <c r="Q19" i="10"/>
  <c r="V19" i="10" s="1"/>
  <c r="Q24" i="10"/>
  <c r="V24" i="10" s="1"/>
  <c r="Q27" i="10"/>
  <c r="V27" i="10" s="1"/>
  <c r="Q32" i="10"/>
  <c r="V32" i="10" s="1"/>
  <c r="Q35" i="10"/>
  <c r="V35" i="10" s="1"/>
  <c r="Q40" i="10"/>
  <c r="V40" i="10" s="1"/>
  <c r="AE41" i="10"/>
  <c r="R43" i="10"/>
  <c r="W43" i="10" s="1"/>
  <c r="R45" i="10"/>
  <c r="W45" i="10" s="1"/>
  <c r="Q48" i="10"/>
  <c r="V48" i="10" s="1"/>
  <c r="AE49" i="10"/>
  <c r="R60" i="10"/>
  <c r="W60" i="10" s="1"/>
  <c r="R51" i="10"/>
  <c r="W51" i="10" s="1"/>
  <c r="AE53" i="10"/>
  <c r="AD51" i="10"/>
  <c r="R52" i="10"/>
  <c r="W52" i="10" s="1"/>
  <c r="AD32" i="10"/>
  <c r="AE14" i="10"/>
  <c r="AD52" i="10"/>
  <c r="AD28" i="10"/>
  <c r="AE32" i="10"/>
  <c r="AD14" i="10"/>
  <c r="AE52" i="10"/>
  <c r="AE28" i="10"/>
  <c r="R53" i="10"/>
  <c r="W53" i="10" s="1"/>
  <c r="Q53" i="10"/>
  <c r="V53" i="10" s="1"/>
  <c r="R54" i="10"/>
  <c r="W54" i="10" s="1"/>
  <c r="Q54" i="10"/>
  <c r="V54" i="10" s="1"/>
  <c r="AD53" i="10"/>
  <c r="Q14" i="10"/>
  <c r="V14" i="10" s="1"/>
  <c r="AD15" i="10"/>
  <c r="Q13" i="10"/>
  <c r="V13" i="10" s="1"/>
  <c r="R15" i="10"/>
  <c r="W15" i="10" s="1"/>
  <c r="R16" i="10"/>
  <c r="W16" i="10" s="1"/>
  <c r="AE17" i="10"/>
  <c r="R19" i="10"/>
  <c r="W19" i="10" s="1"/>
  <c r="R20" i="10"/>
  <c r="W20" i="10" s="1"/>
  <c r="AE21" i="10"/>
  <c r="R23" i="10"/>
  <c r="W23" i="10" s="1"/>
  <c r="R24" i="10"/>
  <c r="W24" i="10" s="1"/>
  <c r="AE25" i="10"/>
  <c r="R27" i="10"/>
  <c r="W27" i="10" s="1"/>
  <c r="R28" i="10"/>
  <c r="W28" i="10" s="1"/>
  <c r="R31" i="10"/>
  <c r="W31" i="10" s="1"/>
  <c r="R32" i="10"/>
  <c r="W32" i="10" s="1"/>
  <c r="AE33" i="10"/>
  <c r="R35" i="10"/>
  <c r="W35" i="10" s="1"/>
  <c r="R36" i="10"/>
  <c r="W36" i="10" s="1"/>
  <c r="AE37" i="10"/>
  <c r="R39" i="10"/>
  <c r="W39" i="10" s="1"/>
  <c r="R40" i="10"/>
  <c r="W40" i="10" s="1"/>
  <c r="R42" i="10"/>
  <c r="W42" i="10" s="1"/>
  <c r="AE43" i="10"/>
  <c r="Q45" i="10"/>
  <c r="V45" i="10" s="1"/>
  <c r="R46" i="10"/>
  <c r="W46" i="10" s="1"/>
  <c r="R48" i="10"/>
  <c r="W48" i="10" s="1"/>
  <c r="Q18" i="10"/>
  <c r="V18" i="10" s="1"/>
  <c r="Q21" i="10"/>
  <c r="V21" i="10" s="1"/>
  <c r="Q22" i="10"/>
  <c r="V22" i="10" s="1"/>
  <c r="AD23" i="10"/>
  <c r="Q26" i="10"/>
  <c r="V26" i="10" s="1"/>
  <c r="Q29" i="10"/>
  <c r="V29" i="10" s="1"/>
  <c r="Q30" i="10"/>
  <c r="V30" i="10" s="1"/>
  <c r="Q34" i="10"/>
  <c r="V34" i="10" s="1"/>
  <c r="Q37" i="10"/>
  <c r="V37" i="10" s="1"/>
  <c r="Q38" i="10"/>
  <c r="V38" i="10" s="1"/>
  <c r="Q46" i="10"/>
  <c r="V46" i="10" s="1"/>
  <c r="AD47" i="10"/>
  <c r="AD49" i="10"/>
  <c r="Q60" i="10"/>
  <c r="V60" i="10" s="1"/>
  <c r="AD17" i="10"/>
  <c r="Q20" i="10"/>
  <c r="V20" i="10" s="1"/>
  <c r="Q23" i="10"/>
  <c r="V23" i="10" s="1"/>
  <c r="AD25" i="10"/>
  <c r="Q28" i="10"/>
  <c r="V28" i="10" s="1"/>
  <c r="Q31" i="10"/>
  <c r="V31" i="10" s="1"/>
  <c r="AD33" i="10"/>
  <c r="Q36" i="10"/>
  <c r="V36" i="10" s="1"/>
  <c r="Q39" i="10"/>
  <c r="V39" i="10" s="1"/>
  <c r="R41" i="10"/>
  <c r="W41" i="10" s="1"/>
  <c r="Q42" i="10"/>
  <c r="V42" i="10" s="1"/>
  <c r="AD43" i="10"/>
  <c r="R49" i="10"/>
  <c r="W49" i="10" s="1"/>
  <c r="R50" i="10"/>
  <c r="W50" i="10" s="1"/>
  <c r="AE51" i="10"/>
  <c r="Q52" i="10"/>
  <c r="V52" i="10" s="1"/>
  <c r="AD41" i="10"/>
  <c r="Q51" i="10"/>
  <c r="V51" i="10" s="1"/>
  <c r="AE48" i="10"/>
  <c r="AD40" i="10"/>
  <c r="AD24" i="10"/>
  <c r="AE54" i="10"/>
  <c r="AD46" i="10"/>
  <c r="AD34" i="10"/>
  <c r="AE13" i="10"/>
  <c r="AD36" i="10"/>
  <c r="AD20" i="10"/>
  <c r="AE30" i="10"/>
  <c r="AD48" i="10"/>
  <c r="AE40" i="10"/>
  <c r="AE24" i="10"/>
  <c r="AD54" i="10"/>
  <c r="AE46" i="10"/>
  <c r="AE34" i="10"/>
  <c r="AD13" i="10"/>
  <c r="AE36" i="10"/>
  <c r="AE20" i="10"/>
  <c r="AD30" i="10"/>
  <c r="AD16" i="10"/>
  <c r="AD42" i="10"/>
  <c r="AD26" i="10"/>
  <c r="AE44" i="10"/>
  <c r="AD21" i="10"/>
  <c r="AD38" i="10"/>
  <c r="AE42" i="10"/>
  <c r="AD44" i="10"/>
  <c r="AE16" i="10"/>
  <c r="AE50" i="10"/>
  <c r="AE38" i="10"/>
  <c r="AE22" i="10"/>
  <c r="AE47" i="10"/>
  <c r="AD37" i="10"/>
  <c r="AE26" i="10"/>
  <c r="AD22" i="10"/>
  <c r="AD50" i="10"/>
  <c r="AD31" i="10"/>
  <c r="AD35" i="10"/>
  <c r="AD39" i="10"/>
  <c r="AE31" i="10"/>
  <c r="AE35" i="10"/>
  <c r="AE39" i="10"/>
  <c r="AE60" i="10"/>
  <c r="AD18" i="10"/>
  <c r="AE45" i="10"/>
  <c r="AD29" i="10"/>
  <c r="AD60" i="10"/>
  <c r="AE18" i="10"/>
  <c r="AD45" i="10"/>
  <c r="AE29" i="10"/>
  <c r="Q58" i="19"/>
  <c r="V58" i="19" s="1"/>
  <c r="H12" i="2" s="1"/>
  <c r="K12" i="2"/>
  <c r="R58" i="19"/>
  <c r="W58" i="19" s="1"/>
  <c r="I12" i="2" s="1"/>
  <c r="AD58" i="19"/>
  <c r="AE58" i="19"/>
  <c r="AE51" i="8"/>
  <c r="R54" i="8"/>
  <c r="W54" i="8" s="1"/>
  <c r="R53" i="8"/>
  <c r="W53" i="8" s="1"/>
  <c r="Q53" i="8"/>
  <c r="V53" i="8" s="1"/>
  <c r="R52" i="8"/>
  <c r="W52" i="8" s="1"/>
  <c r="R14" i="8"/>
  <c r="W14" i="8" s="1"/>
  <c r="R16" i="8"/>
  <c r="W16" i="8" s="1"/>
  <c r="R18" i="8"/>
  <c r="W18" i="8" s="1"/>
  <c r="R20" i="8"/>
  <c r="W20" i="8" s="1"/>
  <c r="R22" i="8"/>
  <c r="W22" i="8" s="1"/>
  <c r="R24" i="8"/>
  <c r="W24" i="8" s="1"/>
  <c r="R26" i="8"/>
  <c r="W26" i="8" s="1"/>
  <c r="R28" i="8"/>
  <c r="W28" i="8" s="1"/>
  <c r="R30" i="8"/>
  <c r="W30" i="8" s="1"/>
  <c r="R32" i="8"/>
  <c r="W32" i="8" s="1"/>
  <c r="R34" i="8"/>
  <c r="W34" i="8" s="1"/>
  <c r="R36" i="8"/>
  <c r="W36" i="8" s="1"/>
  <c r="R38" i="8"/>
  <c r="W38" i="8" s="1"/>
  <c r="R40" i="8"/>
  <c r="W40" i="8" s="1"/>
  <c r="R44" i="8"/>
  <c r="W44" i="8" s="1"/>
  <c r="Q48" i="8"/>
  <c r="V48" i="8" s="1"/>
  <c r="Q50" i="8"/>
  <c r="V50" i="8" s="1"/>
  <c r="Q61" i="8"/>
  <c r="V61" i="8" s="1"/>
  <c r="Q14" i="8"/>
  <c r="V14" i="8" s="1"/>
  <c r="Q15" i="8"/>
  <c r="V15" i="8" s="1"/>
  <c r="AE15" i="8"/>
  <c r="Q20" i="8"/>
  <c r="V20" i="8" s="1"/>
  <c r="Q21" i="8"/>
  <c r="V21" i="8" s="1"/>
  <c r="Q22" i="8"/>
  <c r="V22" i="8" s="1"/>
  <c r="Q23" i="8"/>
  <c r="V23" i="8" s="1"/>
  <c r="AE23" i="8"/>
  <c r="AE24" i="8"/>
  <c r="Q28" i="8"/>
  <c r="V28" i="8" s="1"/>
  <c r="Q29" i="8"/>
  <c r="V29" i="8" s="1"/>
  <c r="Q30" i="8"/>
  <c r="V30" i="8" s="1"/>
  <c r="Q31" i="8"/>
  <c r="V31" i="8" s="1"/>
  <c r="AE31" i="8"/>
  <c r="AE32" i="8"/>
  <c r="AE34" i="8"/>
  <c r="Q36" i="8"/>
  <c r="V36" i="8" s="1"/>
  <c r="Q37" i="8"/>
  <c r="V37" i="8" s="1"/>
  <c r="Q38" i="8"/>
  <c r="V38" i="8" s="1"/>
  <c r="Q39" i="8"/>
  <c r="V39" i="8" s="1"/>
  <c r="AE40" i="8"/>
  <c r="AE41" i="8"/>
  <c r="Q44" i="8"/>
  <c r="V44" i="8" s="1"/>
  <c r="Q45" i="8"/>
  <c r="V45" i="8" s="1"/>
  <c r="Q46" i="8"/>
  <c r="V46" i="8" s="1"/>
  <c r="Q47" i="8"/>
  <c r="V47" i="8" s="1"/>
  <c r="R61" i="8"/>
  <c r="W61" i="8" s="1"/>
  <c r="AE54" i="8"/>
  <c r="R51" i="8"/>
  <c r="W51" i="8" s="1"/>
  <c r="AD24" i="8"/>
  <c r="AD32" i="8"/>
  <c r="AD40" i="8"/>
  <c r="AD13" i="8"/>
  <c r="Q54" i="8"/>
  <c r="V54" i="8" s="1"/>
  <c r="AD53" i="8"/>
  <c r="R55" i="8"/>
  <c r="W55" i="8" s="1"/>
  <c r="AE53" i="8"/>
  <c r="Q52" i="8"/>
  <c r="V52" i="8" s="1"/>
  <c r="R13" i="8"/>
  <c r="W13" i="8" s="1"/>
  <c r="R15" i="8"/>
  <c r="W15" i="8" s="1"/>
  <c r="R17" i="8"/>
  <c r="W17" i="8" s="1"/>
  <c r="R19" i="8"/>
  <c r="W19" i="8" s="1"/>
  <c r="R21" i="8"/>
  <c r="W21" i="8" s="1"/>
  <c r="R23" i="8"/>
  <c r="W23" i="8" s="1"/>
  <c r="R25" i="8"/>
  <c r="W25" i="8" s="1"/>
  <c r="R27" i="8"/>
  <c r="W27" i="8" s="1"/>
  <c r="R29" i="8"/>
  <c r="W29" i="8" s="1"/>
  <c r="R31" i="8"/>
  <c r="W31" i="8" s="1"/>
  <c r="R33" i="8"/>
  <c r="W33" i="8" s="1"/>
  <c r="R35" i="8"/>
  <c r="W35" i="8" s="1"/>
  <c r="R37" i="8"/>
  <c r="W37" i="8" s="1"/>
  <c r="R39" i="8"/>
  <c r="W39" i="8" s="1"/>
  <c r="R41" i="8"/>
  <c r="W41" i="8" s="1"/>
  <c r="R43" i="8"/>
  <c r="W43" i="8" s="1"/>
  <c r="R46" i="8"/>
  <c r="W46" i="8" s="1"/>
  <c r="AD48" i="8"/>
  <c r="AD50" i="8"/>
  <c r="Q13" i="8"/>
  <c r="V13" i="8" s="1"/>
  <c r="AE14" i="8"/>
  <c r="Q16" i="8"/>
  <c r="V16" i="8" s="1"/>
  <c r="Q17" i="8"/>
  <c r="V17" i="8" s="1"/>
  <c r="Q18" i="8"/>
  <c r="V18" i="8" s="1"/>
  <c r="Q19" i="8"/>
  <c r="V19" i="8" s="1"/>
  <c r="AE19" i="8"/>
  <c r="AE20" i="8"/>
  <c r="AE21" i="8"/>
  <c r="AE22" i="8"/>
  <c r="Q24" i="8"/>
  <c r="V24" i="8" s="1"/>
  <c r="Q25" i="8"/>
  <c r="V25" i="8" s="1"/>
  <c r="Q26" i="8"/>
  <c r="V26" i="8" s="1"/>
  <c r="Q27" i="8"/>
  <c r="V27" i="8" s="1"/>
  <c r="AE28" i="8"/>
  <c r="AE30" i="8"/>
  <c r="Q32" i="8"/>
  <c r="V32" i="8" s="1"/>
  <c r="Q33" i="8"/>
  <c r="V33" i="8" s="1"/>
  <c r="Q34" i="8"/>
  <c r="V34" i="8" s="1"/>
  <c r="Q35" i="8"/>
  <c r="V35" i="8" s="1"/>
  <c r="AE35" i="8"/>
  <c r="AE36" i="8"/>
  <c r="AE37" i="8"/>
  <c r="AE38" i="8"/>
  <c r="Q40" i="8"/>
  <c r="V40" i="8" s="1"/>
  <c r="Q41" i="8"/>
  <c r="V41" i="8" s="1"/>
  <c r="R42" i="8"/>
  <c r="W42" i="8" s="1"/>
  <c r="Q43" i="8"/>
  <c r="V43" i="8" s="1"/>
  <c r="AE44" i="8"/>
  <c r="AE46" i="8"/>
  <c r="R48" i="8"/>
  <c r="W48" i="8" s="1"/>
  <c r="Q49" i="8"/>
  <c r="V49" i="8" s="1"/>
  <c r="R50" i="8"/>
  <c r="W50" i="8" s="1"/>
  <c r="Q51" i="8"/>
  <c r="V51" i="8" s="1"/>
  <c r="AD51" i="8"/>
  <c r="AD54" i="8"/>
  <c r="R47" i="8"/>
  <c r="W47" i="8" s="1"/>
  <c r="AE49" i="8"/>
  <c r="AD14" i="8"/>
  <c r="AD22" i="8"/>
  <c r="AD26" i="8"/>
  <c r="AD30" i="8"/>
  <c r="AD34" i="8"/>
  <c r="AD38" i="8"/>
  <c r="Q42" i="8"/>
  <c r="V42" i="8" s="1"/>
  <c r="AE47" i="8"/>
  <c r="AE13" i="8"/>
  <c r="AE50" i="8"/>
  <c r="AE26" i="8"/>
  <c r="AD20" i="8"/>
  <c r="AD49" i="8"/>
  <c r="AE42" i="8"/>
  <c r="AD36" i="8"/>
  <c r="AD28" i="8"/>
  <c r="AD42" i="8"/>
  <c r="R45" i="8"/>
  <c r="W45" i="8" s="1"/>
  <c r="AD21" i="8"/>
  <c r="AD37" i="8"/>
  <c r="AD46" i="8"/>
  <c r="Q55" i="8"/>
  <c r="V55" i="8" s="1"/>
  <c r="AD19" i="8"/>
  <c r="AD35" i="8"/>
  <c r="AD44" i="8"/>
  <c r="AE48" i="8"/>
  <c r="AE25" i="8"/>
  <c r="AE17" i="8"/>
  <c r="AD47" i="8"/>
  <c r="AE39" i="8"/>
  <c r="AE33" i="8"/>
  <c r="AD17" i="8"/>
  <c r="AD33" i="8"/>
  <c r="AD23" i="8"/>
  <c r="AD39" i="8"/>
  <c r="R49" i="8"/>
  <c r="W49" i="8" s="1"/>
  <c r="AD25" i="8"/>
  <c r="AD41" i="8"/>
  <c r="AD15" i="8"/>
  <c r="AD31" i="8"/>
  <c r="AD52" i="8"/>
  <c r="AE61" i="8"/>
  <c r="AE52" i="8"/>
  <c r="AD61" i="8"/>
  <c r="AE27" i="8"/>
  <c r="AE18" i="8"/>
  <c r="AD16" i="8"/>
  <c r="AD55" i="8"/>
  <c r="AD45" i="8"/>
  <c r="AE43" i="8"/>
  <c r="AE29" i="8"/>
  <c r="AD27" i="8"/>
  <c r="AD18" i="8"/>
  <c r="AE16" i="8"/>
  <c r="AE55" i="8"/>
  <c r="AE45" i="8"/>
  <c r="AD43" i="8"/>
  <c r="AD29" i="8"/>
  <c r="G96" i="2"/>
  <c r="I49" i="2"/>
  <c r="I96" i="2" s="1"/>
  <c r="L96" i="2" s="1"/>
  <c r="H49" i="2"/>
  <c r="H96" i="2" s="1"/>
  <c r="K96" i="2" s="1"/>
  <c r="L19" i="29"/>
  <c r="G85" i="2"/>
  <c r="I12" i="28"/>
  <c r="I11" i="28"/>
  <c r="I13" i="28"/>
  <c r="I9" i="28"/>
  <c r="E11" i="28"/>
  <c r="BC100" i="25" l="1"/>
  <c r="BC108" i="25"/>
  <c r="BC116" i="25"/>
  <c r="BC124" i="25"/>
  <c r="BC132" i="25"/>
  <c r="BC140" i="25"/>
  <c r="BC94" i="25"/>
  <c r="BC110" i="25"/>
  <c r="BC126" i="25"/>
  <c r="BC142" i="25"/>
  <c r="BC106" i="25"/>
  <c r="BC138" i="25"/>
  <c r="BC99" i="25"/>
  <c r="BC131" i="25"/>
  <c r="BC101" i="25"/>
  <c r="BC109" i="25"/>
  <c r="BC117" i="25"/>
  <c r="BC125" i="25"/>
  <c r="BC133" i="25"/>
  <c r="BC141" i="25"/>
  <c r="BC102" i="25"/>
  <c r="BC118" i="25"/>
  <c r="BC134" i="25"/>
  <c r="BC98" i="25"/>
  <c r="BC130" i="25"/>
  <c r="BC107" i="25"/>
  <c r="BC139" i="25"/>
  <c r="BC95" i="25"/>
  <c r="BC103" i="25"/>
  <c r="BC111" i="25"/>
  <c r="BC119" i="25"/>
  <c r="BC127" i="25"/>
  <c r="BC135" i="25"/>
  <c r="BC143" i="25"/>
  <c r="BC105" i="25"/>
  <c r="BC121" i="25"/>
  <c r="BC137" i="25"/>
  <c r="BC122" i="25"/>
  <c r="BC115" i="25"/>
  <c r="BC96" i="25"/>
  <c r="BC104" i="25"/>
  <c r="BC112" i="25"/>
  <c r="BC120" i="25"/>
  <c r="BC128" i="25"/>
  <c r="BC136" i="25"/>
  <c r="BC93" i="25"/>
  <c r="BC97" i="25"/>
  <c r="BC113" i="25"/>
  <c r="BC129" i="25"/>
  <c r="BC114" i="25"/>
  <c r="BC123" i="25"/>
  <c r="N85" i="2"/>
  <c r="M85" i="2"/>
  <c r="H77" i="2"/>
  <c r="G78" i="2"/>
  <c r="G101" i="2" s="1"/>
  <c r="N96" i="2"/>
  <c r="M96" i="2"/>
  <c r="Q47" i="18"/>
  <c r="V47" i="18" s="1"/>
  <c r="AE60" i="18"/>
  <c r="AD60" i="18"/>
  <c r="R60" i="18"/>
  <c r="W60" i="18" s="1"/>
  <c r="Q60" i="18"/>
  <c r="V60" i="18" s="1"/>
  <c r="C41" i="3"/>
  <c r="H48" i="3" s="1"/>
  <c r="H45" i="2" s="1"/>
  <c r="R63" i="18"/>
  <c r="R59" i="18"/>
  <c r="W59" i="18" s="1"/>
  <c r="Q59" i="18"/>
  <c r="V59" i="18" s="1"/>
  <c r="AE59" i="18"/>
  <c r="AD59" i="18"/>
  <c r="Q48" i="18"/>
  <c r="V48" i="18" s="1"/>
  <c r="AE37" i="18"/>
  <c r="R58" i="18"/>
  <c r="W58" i="18" s="1"/>
  <c r="Q58" i="18"/>
  <c r="V58" i="18" s="1"/>
  <c r="AE58" i="18"/>
  <c r="AD58" i="18"/>
  <c r="B155" i="25"/>
  <c r="B157" i="25"/>
  <c r="B149" i="25"/>
  <c r="B156" i="25"/>
  <c r="B154" i="25"/>
  <c r="B150" i="25"/>
  <c r="B151" i="25"/>
  <c r="Q23" i="18"/>
  <c r="V23" i="18" s="1"/>
  <c r="R21" i="18"/>
  <c r="W21" i="18" s="1"/>
  <c r="AD32" i="18"/>
  <c r="J85" i="2"/>
  <c r="H24" i="2"/>
  <c r="AD45" i="18"/>
  <c r="AE28" i="18"/>
  <c r="Q16" i="18"/>
  <c r="V16" i="18" s="1"/>
  <c r="AD39" i="18"/>
  <c r="R14" i="18"/>
  <c r="W14" i="18" s="1"/>
  <c r="Q54" i="18"/>
  <c r="V54" i="18" s="1"/>
  <c r="AE57" i="18"/>
  <c r="Q57" i="18"/>
  <c r="V57" i="18" s="1"/>
  <c r="AD57" i="18"/>
  <c r="R57" i="18"/>
  <c r="W57" i="18" s="1"/>
  <c r="Q39" i="18"/>
  <c r="V39" i="18" s="1"/>
  <c r="AE44" i="18"/>
  <c r="AE52" i="18"/>
  <c r="Q32" i="18"/>
  <c r="V32" i="18" s="1"/>
  <c r="R37" i="18"/>
  <c r="W37" i="18" s="1"/>
  <c r="AE54" i="18"/>
  <c r="AD23" i="18"/>
  <c r="R30" i="18"/>
  <c r="W30" i="18" s="1"/>
  <c r="AE48" i="18"/>
  <c r="AD16" i="18"/>
  <c r="AE21" i="18"/>
  <c r="R47" i="18"/>
  <c r="W47" i="18" s="1"/>
  <c r="Q31" i="18"/>
  <c r="V31" i="18" s="1"/>
  <c r="Q15" i="18"/>
  <c r="V15" i="18" s="1"/>
  <c r="AE36" i="18"/>
  <c r="AE20" i="18"/>
  <c r="AD54" i="18"/>
  <c r="Q40" i="18"/>
  <c r="V40" i="18" s="1"/>
  <c r="Q24" i="18"/>
  <c r="V24" i="18" s="1"/>
  <c r="Q45" i="18"/>
  <c r="V45" i="18" s="1"/>
  <c r="R29" i="18"/>
  <c r="W29" i="18" s="1"/>
  <c r="R13" i="18"/>
  <c r="W13" i="18" s="1"/>
  <c r="AD47" i="18"/>
  <c r="AD31" i="18"/>
  <c r="AD15" i="18"/>
  <c r="R38" i="18"/>
  <c r="W38" i="18" s="1"/>
  <c r="R22" i="18"/>
  <c r="W22" i="18" s="1"/>
  <c r="R55" i="18"/>
  <c r="W55" i="18" s="1"/>
  <c r="AD40" i="18"/>
  <c r="AD24" i="18"/>
  <c r="R46" i="18"/>
  <c r="W46" i="18" s="1"/>
  <c r="AE29" i="18"/>
  <c r="AE13" i="18"/>
  <c r="Q63" i="18"/>
  <c r="V63" i="18" s="1"/>
  <c r="H11" i="2" s="1"/>
  <c r="R51" i="18"/>
  <c r="W51" i="18" s="1"/>
  <c r="Q43" i="18"/>
  <c r="V43" i="18" s="1"/>
  <c r="Q35" i="18"/>
  <c r="V35" i="18" s="1"/>
  <c r="Q27" i="18"/>
  <c r="V27" i="18" s="1"/>
  <c r="Q19" i="18"/>
  <c r="V19" i="18" s="1"/>
  <c r="Q51" i="18"/>
  <c r="V51" i="18" s="1"/>
  <c r="AE40" i="18"/>
  <c r="AE32" i="18"/>
  <c r="AE24" i="18"/>
  <c r="AE16" i="18"/>
  <c r="AE55" i="18"/>
  <c r="Q61" i="18"/>
  <c r="V61" i="18" s="1"/>
  <c r="Q44" i="18"/>
  <c r="V44" i="18" s="1"/>
  <c r="Q36" i="18"/>
  <c r="V36" i="18" s="1"/>
  <c r="Q28" i="18"/>
  <c r="V28" i="18" s="1"/>
  <c r="Q20" i="18"/>
  <c r="V20" i="18" s="1"/>
  <c r="R50" i="18"/>
  <c r="W50" i="18" s="1"/>
  <c r="R41" i="18"/>
  <c r="W41" i="18" s="1"/>
  <c r="R33" i="18"/>
  <c r="W33" i="18" s="1"/>
  <c r="R25" i="18"/>
  <c r="W25" i="18" s="1"/>
  <c r="R17" i="18"/>
  <c r="W17" i="18" s="1"/>
  <c r="Q55" i="18"/>
  <c r="V55" i="18" s="1"/>
  <c r="AD51" i="18"/>
  <c r="AD43" i="18"/>
  <c r="AD35" i="18"/>
  <c r="AD27" i="18"/>
  <c r="AD19" i="18"/>
  <c r="R61" i="18"/>
  <c r="W61" i="18" s="1"/>
  <c r="R42" i="18"/>
  <c r="W42" i="18" s="1"/>
  <c r="R34" i="18"/>
  <c r="W34" i="18" s="1"/>
  <c r="R26" i="18"/>
  <c r="W26" i="18" s="1"/>
  <c r="R18" i="18"/>
  <c r="W18" i="18" s="1"/>
  <c r="R53" i="18"/>
  <c r="W53" i="18" s="1"/>
  <c r="AD61" i="18"/>
  <c r="AD44" i="18"/>
  <c r="AD36" i="18"/>
  <c r="AD28" i="18"/>
  <c r="AD20" i="18"/>
  <c r="AD50" i="18"/>
  <c r="AE41" i="18"/>
  <c r="AE33" i="18"/>
  <c r="AE25" i="18"/>
  <c r="AE17" i="18"/>
  <c r="AE56" i="18"/>
  <c r="AD56" i="18"/>
  <c r="R56" i="18"/>
  <c r="W56" i="18" s="1"/>
  <c r="Q56" i="18"/>
  <c r="V56" i="18" s="1"/>
  <c r="AE61" i="18"/>
  <c r="R49" i="18"/>
  <c r="W49" i="18" s="1"/>
  <c r="R45" i="18"/>
  <c r="W45" i="18" s="1"/>
  <c r="Q41" i="18"/>
  <c r="V41" i="18" s="1"/>
  <c r="Q37" i="18"/>
  <c r="V37" i="18" s="1"/>
  <c r="Q33" i="18"/>
  <c r="V33" i="18" s="1"/>
  <c r="Q29" i="18"/>
  <c r="V29" i="18" s="1"/>
  <c r="Q25" i="18"/>
  <c r="V25" i="18" s="1"/>
  <c r="Q21" i="18"/>
  <c r="V21" i="18" s="1"/>
  <c r="Q17" i="18"/>
  <c r="V17" i="18" s="1"/>
  <c r="Q13" i="18"/>
  <c r="V13" i="18" s="1"/>
  <c r="R48" i="18"/>
  <c r="W48" i="18" s="1"/>
  <c r="AE42" i="18"/>
  <c r="AE38" i="18"/>
  <c r="AE34" i="18"/>
  <c r="AE30" i="18"/>
  <c r="AE26" i="18"/>
  <c r="AE22" i="18"/>
  <c r="AE18" i="18"/>
  <c r="AE14" i="18"/>
  <c r="Q53" i="18"/>
  <c r="V53" i="18" s="1"/>
  <c r="R54" i="18"/>
  <c r="W54" i="18" s="1"/>
  <c r="AE49" i="18"/>
  <c r="Q50" i="18"/>
  <c r="V50" i="18" s="1"/>
  <c r="Q46" i="18"/>
  <c r="V46" i="18" s="1"/>
  <c r="Q42" i="18"/>
  <c r="V42" i="18" s="1"/>
  <c r="Q38" i="18"/>
  <c r="V38" i="18" s="1"/>
  <c r="Q34" i="18"/>
  <c r="V34" i="18" s="1"/>
  <c r="Q30" i="18"/>
  <c r="V30" i="18" s="1"/>
  <c r="Q26" i="18"/>
  <c r="V26" i="18" s="1"/>
  <c r="Q22" i="18"/>
  <c r="V22" i="18" s="1"/>
  <c r="Q18" i="18"/>
  <c r="V18" i="18" s="1"/>
  <c r="Q14" i="18"/>
  <c r="V14" i="18" s="1"/>
  <c r="AE46" i="18"/>
  <c r="R43" i="18"/>
  <c r="W43" i="18" s="1"/>
  <c r="R39" i="18"/>
  <c r="W39" i="18" s="1"/>
  <c r="R35" i="18"/>
  <c r="W35" i="18" s="1"/>
  <c r="R31" i="18"/>
  <c r="W31" i="18" s="1"/>
  <c r="R27" i="18"/>
  <c r="W27" i="18" s="1"/>
  <c r="R23" i="18"/>
  <c r="W23" i="18" s="1"/>
  <c r="R19" i="18"/>
  <c r="W19" i="18" s="1"/>
  <c r="R15" i="18"/>
  <c r="W15" i="18" s="1"/>
  <c r="AE53" i="18"/>
  <c r="AD55" i="18"/>
  <c r="AE47" i="18"/>
  <c r="AD49" i="18"/>
  <c r="AE45" i="18"/>
  <c r="AD41" i="18"/>
  <c r="AD37" i="18"/>
  <c r="AD33" i="18"/>
  <c r="AD29" i="18"/>
  <c r="AD25" i="18"/>
  <c r="AD21" i="18"/>
  <c r="AD17" i="18"/>
  <c r="AD13" i="18"/>
  <c r="AD48" i="18"/>
  <c r="R44" i="18"/>
  <c r="W44" i="18" s="1"/>
  <c r="R40" i="18"/>
  <c r="W40" i="18" s="1"/>
  <c r="R36" i="18"/>
  <c r="W36" i="18" s="1"/>
  <c r="R32" i="18"/>
  <c r="W32" i="18" s="1"/>
  <c r="R28" i="18"/>
  <c r="W28" i="18" s="1"/>
  <c r="R24" i="18"/>
  <c r="W24" i="18" s="1"/>
  <c r="R20" i="18"/>
  <c r="W20" i="18" s="1"/>
  <c r="R16" i="18"/>
  <c r="W16" i="18" s="1"/>
  <c r="R52" i="18"/>
  <c r="W52" i="18" s="1"/>
  <c r="AD53" i="18"/>
  <c r="AE51" i="18"/>
  <c r="AE50" i="18"/>
  <c r="AD46" i="18"/>
  <c r="AD42" i="18"/>
  <c r="AD38" i="18"/>
  <c r="AD34" i="18"/>
  <c r="AD30" i="18"/>
  <c r="AD26" i="18"/>
  <c r="AD22" i="18"/>
  <c r="AD18" i="18"/>
  <c r="AD14" i="18"/>
  <c r="Q49" i="18"/>
  <c r="V49" i="18" s="1"/>
  <c r="AE43" i="18"/>
  <c r="AE39" i="18"/>
  <c r="AE35" i="18"/>
  <c r="AE31" i="18"/>
  <c r="AE27" i="18"/>
  <c r="AE23" i="18"/>
  <c r="AE19" i="18"/>
  <c r="AE15" i="18"/>
  <c r="Q52" i="18"/>
  <c r="V52" i="18" s="1"/>
  <c r="AD52" i="18"/>
  <c r="K11" i="2"/>
  <c r="AE63" i="18"/>
  <c r="J92" i="2"/>
  <c r="G99" i="2"/>
  <c r="J99" i="2" s="1"/>
  <c r="J96" i="2"/>
  <c r="I24" i="2"/>
  <c r="I28" i="28"/>
  <c r="I27" i="28"/>
  <c r="I25" i="28"/>
  <c r="I29" i="28"/>
  <c r="E31" i="28"/>
  <c r="G87" i="2"/>
  <c r="G31" i="28"/>
  <c r="I30" i="28"/>
  <c r="I26" i="28"/>
  <c r="N87" i="2" l="1"/>
  <c r="M87" i="2"/>
  <c r="N101" i="2"/>
  <c r="M101" i="2"/>
  <c r="W63" i="18"/>
  <c r="I11" i="2" s="1"/>
  <c r="H51" i="2"/>
  <c r="F150" i="25"/>
  <c r="F148" i="25"/>
  <c r="F151" i="25"/>
  <c r="J87" i="2"/>
  <c r="F155" i="25"/>
  <c r="F156" i="25"/>
  <c r="F157" i="25"/>
  <c r="F154" i="25"/>
  <c r="F149" i="25"/>
  <c r="I45" i="2"/>
  <c r="I48" i="2" s="1"/>
  <c r="G58" i="2"/>
  <c r="O78" i="2"/>
  <c r="O79" i="2" s="1"/>
  <c r="G100" i="2"/>
  <c r="I77" i="2"/>
  <c r="I100" i="2" s="1"/>
  <c r="L100" i="2" s="1"/>
  <c r="H100" i="2"/>
  <c r="K100" i="2" s="1"/>
  <c r="M100" i="2" l="1"/>
  <c r="N100" i="2"/>
  <c r="H85" i="2"/>
  <c r="K85" i="2" s="1"/>
  <c r="E15" i="28"/>
  <c r="E21" i="28"/>
  <c r="I51" i="2"/>
  <c r="J100" i="2"/>
  <c r="G21" i="28"/>
  <c r="I90" i="2"/>
  <c r="L90" i="2" s="1"/>
  <c r="H78" i="2"/>
  <c r="H101" i="2" s="1"/>
  <c r="K101" i="2" s="1"/>
  <c r="I78" i="2"/>
  <c r="I101" i="2" s="1"/>
  <c r="L101" i="2" s="1"/>
  <c r="I41" i="3" l="1"/>
  <c r="L48" i="3" s="1"/>
  <c r="H90" i="2"/>
  <c r="K90" i="2" s="1"/>
  <c r="H48" i="2"/>
  <c r="I85" i="2"/>
  <c r="L85" i="2" s="1"/>
  <c r="G15" i="28"/>
  <c r="J101" i="2"/>
  <c r="G88" i="2"/>
  <c r="J143" i="25" l="1"/>
  <c r="N143" i="25" s="1"/>
  <c r="O140" i="25" s="1"/>
  <c r="N88" i="2"/>
  <c r="M88" i="2"/>
  <c r="K125" i="25"/>
  <c r="I57" i="2"/>
  <c r="I87" i="2" s="1"/>
  <c r="L87" i="2" s="1"/>
  <c r="J148" i="25"/>
  <c r="N151" i="25"/>
  <c r="J88" i="2"/>
  <c r="I58" i="2"/>
  <c r="I88" i="2" s="1"/>
  <c r="L88" i="2" s="1"/>
  <c r="H58" i="2"/>
  <c r="H88" i="2" s="1"/>
  <c r="K88" i="2" s="1"/>
  <c r="H57" i="2"/>
  <c r="H87" i="2" s="1"/>
  <c r="K87" i="2" s="1"/>
  <c r="H63" i="2"/>
  <c r="H93" i="2" s="1"/>
  <c r="K93" i="2" s="1"/>
  <c r="N156" i="25"/>
  <c r="N154" i="25"/>
  <c r="N150" i="25"/>
  <c r="N148" i="25"/>
  <c r="N157" i="25"/>
  <c r="N155" i="25"/>
  <c r="N149" i="25"/>
  <c r="O141" i="25" l="1"/>
  <c r="O129" i="25"/>
  <c r="O124" i="25"/>
  <c r="K131" i="25"/>
  <c r="K119" i="25"/>
  <c r="K109" i="25"/>
  <c r="O133" i="25"/>
  <c r="O128" i="25"/>
  <c r="K115" i="25"/>
  <c r="K108" i="25"/>
  <c r="K128" i="25"/>
  <c r="O122" i="25"/>
  <c r="O111" i="25"/>
  <c r="O130" i="25"/>
  <c r="K111" i="25"/>
  <c r="O113" i="25"/>
  <c r="O139" i="25"/>
  <c r="O134" i="25"/>
  <c r="K130" i="25"/>
  <c r="K110" i="25"/>
  <c r="K140" i="25"/>
  <c r="K142" i="25"/>
  <c r="O112" i="25"/>
  <c r="K122" i="25"/>
  <c r="K136" i="25"/>
  <c r="K124" i="25"/>
  <c r="O121" i="25"/>
  <c r="O114" i="25"/>
  <c r="K137" i="25"/>
  <c r="K127" i="25"/>
  <c r="K143" i="25"/>
  <c r="O127" i="25"/>
  <c r="K113" i="25"/>
  <c r="O137" i="25"/>
  <c r="K126" i="25"/>
  <c r="O117" i="25"/>
  <c r="O138" i="25"/>
  <c r="O123" i="25"/>
  <c r="O118" i="25"/>
  <c r="K121" i="25"/>
  <c r="K141" i="25"/>
  <c r="O115" i="25"/>
  <c r="O131" i="25"/>
  <c r="O116" i="25"/>
  <c r="O132" i="25"/>
  <c r="K139" i="25"/>
  <c r="K114" i="25"/>
  <c r="K134" i="25"/>
  <c r="K133" i="25"/>
  <c r="K132" i="25"/>
  <c r="O119" i="25"/>
  <c r="O135" i="25"/>
  <c r="O120" i="25"/>
  <c r="O136" i="25"/>
  <c r="K123" i="25"/>
  <c r="K129" i="25"/>
  <c r="K118" i="25"/>
  <c r="K117" i="25"/>
  <c r="K116" i="25"/>
  <c r="O109" i="25"/>
  <c r="O125" i="25"/>
  <c r="O110" i="25"/>
  <c r="O126" i="25"/>
  <c r="K138" i="25"/>
  <c r="K112" i="25"/>
  <c r="K120" i="25"/>
  <c r="K135" i="25"/>
  <c r="O143" i="25"/>
  <c r="O142" i="25"/>
  <c r="O108" i="25"/>
  <c r="H64" i="2"/>
  <c r="H94" i="2" s="1"/>
  <c r="K94" i="2" s="1"/>
  <c r="I63" i="2"/>
  <c r="I93" i="2" s="1"/>
  <c r="L93" i="2" s="1"/>
  <c r="I64" i="2"/>
  <c r="I94" i="2" s="1"/>
  <c r="L94" i="2" s="1"/>
  <c r="J156" i="25"/>
  <c r="J154" i="25"/>
  <c r="J150" i="25"/>
  <c r="J157" i="25"/>
  <c r="J155" i="25"/>
  <c r="J151" i="25"/>
  <c r="J149" i="25"/>
  <c r="AD45" i="19" l="1"/>
  <c r="AE19" i="19"/>
  <c r="AE27" i="19"/>
  <c r="AE35" i="19"/>
  <c r="AE43" i="19"/>
  <c r="AD15" i="19"/>
  <c r="AE14" i="19"/>
  <c r="AD14" i="19"/>
  <c r="AD22" i="19"/>
  <c r="AD30" i="19"/>
  <c r="AE38" i="19"/>
  <c r="AD46" i="19"/>
  <c r="AD33" i="19"/>
  <c r="AE49" i="19"/>
  <c r="AE28" i="19"/>
  <c r="AD25" i="19"/>
  <c r="AE34" i="19"/>
  <c r="AD35" i="19"/>
  <c r="AE42" i="19"/>
  <c r="AE16" i="19"/>
  <c r="AE13" i="19"/>
  <c r="AE21" i="19"/>
  <c r="AE29" i="19"/>
  <c r="AE37" i="19"/>
  <c r="AE45" i="19"/>
  <c r="AE44" i="19"/>
  <c r="AD48" i="19"/>
  <c r="AD56" i="19"/>
  <c r="AD20" i="19"/>
  <c r="AD28" i="19"/>
  <c r="AD36" i="19"/>
  <c r="AD44" i="19"/>
  <c r="AD39" i="19"/>
  <c r="AE20" i="19"/>
  <c r="AE50" i="19"/>
  <c r="AD21" i="19"/>
  <c r="AE48" i="19"/>
  <c r="AD50" i="19"/>
  <c r="AE24" i="19"/>
  <c r="AE15" i="19"/>
  <c r="AE23" i="19"/>
  <c r="AE31" i="19"/>
  <c r="AE39" i="19"/>
  <c r="AE56" i="19"/>
  <c r="AD38" i="19"/>
  <c r="AE30" i="19"/>
  <c r="AD18" i="19"/>
  <c r="AD26" i="19"/>
  <c r="AD34" i="19"/>
  <c r="AD42" i="19"/>
  <c r="AE46" i="19"/>
  <c r="AD29" i="19"/>
  <c r="AE47" i="19"/>
  <c r="AD40" i="19"/>
  <c r="AE18" i="19"/>
  <c r="AD43" i="19"/>
  <c r="AD17" i="19"/>
  <c r="AD47" i="19"/>
  <c r="AE32" i="19"/>
  <c r="AE17" i="19"/>
  <c r="AE25" i="19"/>
  <c r="AE33" i="19"/>
  <c r="AE41" i="19"/>
  <c r="AD27" i="19"/>
  <c r="AD37" i="19"/>
  <c r="AE22" i="19"/>
  <c r="AD16" i="19"/>
  <c r="AD24" i="19"/>
  <c r="AD32" i="19"/>
  <c r="AE40" i="19"/>
  <c r="AD19" i="19"/>
  <c r="AD13" i="19"/>
  <c r="AE36" i="19"/>
  <c r="AD31" i="19"/>
  <c r="AD49" i="19"/>
  <c r="AE26" i="19"/>
  <c r="AD23" i="19"/>
  <c r="AD41" i="19"/>
  <c r="R31" i="19"/>
  <c r="W31" i="19" s="1"/>
  <c r="Q36" i="19"/>
  <c r="V36" i="19" s="1"/>
  <c r="Q50" i="19"/>
  <c r="V50" i="19" s="1"/>
  <c r="Q47" i="19"/>
  <c r="V47" i="19" s="1"/>
  <c r="R37" i="19"/>
  <c r="W37" i="19" s="1"/>
  <c r="R41" i="19"/>
  <c r="W41" i="19" s="1"/>
  <c r="R46" i="19"/>
  <c r="W46" i="19" s="1"/>
  <c r="R19" i="19"/>
  <c r="W19" i="19" s="1"/>
  <c r="Q24" i="19"/>
  <c r="V24" i="19" s="1"/>
  <c r="R25" i="19"/>
  <c r="W25" i="19" s="1"/>
  <c r="Q30" i="19"/>
  <c r="V30" i="19" s="1"/>
  <c r="R14" i="19"/>
  <c r="W14" i="19" s="1"/>
  <c r="R18" i="19"/>
  <c r="W18" i="19" s="1"/>
  <c r="R22" i="19"/>
  <c r="W22" i="19" s="1"/>
  <c r="R26" i="19"/>
  <c r="W26" i="19" s="1"/>
  <c r="R30" i="19"/>
  <c r="W30" i="19" s="1"/>
  <c r="R34" i="19"/>
  <c r="W34" i="19" s="1"/>
  <c r="Q38" i="19"/>
  <c r="V38" i="19" s="1"/>
  <c r="Q42" i="19"/>
  <c r="V42" i="19" s="1"/>
  <c r="Q46" i="19"/>
  <c r="V46" i="19" s="1"/>
  <c r="R44" i="19"/>
  <c r="W44" i="19" s="1"/>
  <c r="R29" i="19"/>
  <c r="W29" i="19" s="1"/>
  <c r="Q34" i="19"/>
  <c r="V34" i="19" s="1"/>
  <c r="R39" i="19"/>
  <c r="W39" i="19" s="1"/>
  <c r="Q43" i="19"/>
  <c r="V43" i="19" s="1"/>
  <c r="R49" i="19"/>
  <c r="W49" i="19" s="1"/>
  <c r="Q48" i="19"/>
  <c r="V48" i="19" s="1"/>
  <c r="Q16" i="19"/>
  <c r="V16" i="19" s="1"/>
  <c r="Q13" i="19"/>
  <c r="V13" i="19" s="1"/>
  <c r="Q17" i="19"/>
  <c r="V17" i="19" s="1"/>
  <c r="Q21" i="19"/>
  <c r="V21" i="19" s="1"/>
  <c r="Q25" i="19"/>
  <c r="V25" i="19" s="1"/>
  <c r="Q29" i="19"/>
  <c r="V29" i="19" s="1"/>
  <c r="Q33" i="19"/>
  <c r="V33" i="19" s="1"/>
  <c r="Q37" i="19"/>
  <c r="V37" i="19" s="1"/>
  <c r="Q41" i="19"/>
  <c r="V41" i="19" s="1"/>
  <c r="R45" i="19"/>
  <c r="W45" i="19" s="1"/>
  <c r="R33" i="19"/>
  <c r="W33" i="19" s="1"/>
  <c r="R38" i="19"/>
  <c r="W38" i="19" s="1"/>
  <c r="R42" i="19"/>
  <c r="W42" i="19" s="1"/>
  <c r="Q56" i="19"/>
  <c r="V56" i="19" s="1"/>
  <c r="R16" i="19"/>
  <c r="W16" i="19" s="1"/>
  <c r="R20" i="19"/>
  <c r="W20" i="19" s="1"/>
  <c r="R24" i="19"/>
  <c r="W24" i="19" s="1"/>
  <c r="R28" i="19"/>
  <c r="W28" i="19" s="1"/>
  <c r="R32" i="19"/>
  <c r="W32" i="19" s="1"/>
  <c r="R36" i="19"/>
  <c r="W36" i="19" s="1"/>
  <c r="Q40" i="19"/>
  <c r="V40" i="19" s="1"/>
  <c r="Q44" i="19"/>
  <c r="V44" i="19" s="1"/>
  <c r="R48" i="19"/>
  <c r="W48" i="19" s="1"/>
  <c r="R15" i="19"/>
  <c r="W15" i="19" s="1"/>
  <c r="Q20" i="19"/>
  <c r="V20" i="19" s="1"/>
  <c r="R21" i="19"/>
  <c r="W21" i="19" s="1"/>
  <c r="Q26" i="19"/>
  <c r="V26" i="19" s="1"/>
  <c r="R35" i="19"/>
  <c r="W35" i="19" s="1"/>
  <c r="Q45" i="19"/>
  <c r="V45" i="19" s="1"/>
  <c r="Q15" i="19"/>
  <c r="V15" i="19" s="1"/>
  <c r="Q19" i="19"/>
  <c r="V19" i="19" s="1"/>
  <c r="Q23" i="19"/>
  <c r="V23" i="19" s="1"/>
  <c r="Q27" i="19"/>
  <c r="V27" i="19" s="1"/>
  <c r="Q31" i="19"/>
  <c r="V31" i="19" s="1"/>
  <c r="Q35" i="19"/>
  <c r="V35" i="19" s="1"/>
  <c r="Q39" i="19"/>
  <c r="V39" i="19" s="1"/>
  <c r="R43" i="19"/>
  <c r="W43" i="19" s="1"/>
  <c r="R56" i="19"/>
  <c r="W56" i="19" s="1"/>
  <c r="R50" i="19"/>
  <c r="W50" i="19" s="1"/>
  <c r="R47" i="19"/>
  <c r="W47" i="19" s="1"/>
  <c r="Q14" i="19"/>
  <c r="V14" i="19" s="1"/>
  <c r="R40" i="19"/>
  <c r="W40" i="19" s="1"/>
  <c r="Q49" i="19"/>
  <c r="V49" i="19" s="1"/>
  <c r="R23" i="19"/>
  <c r="W23" i="19" s="1"/>
  <c r="Q28" i="19"/>
  <c r="V28" i="19" s="1"/>
  <c r="R13" i="19"/>
  <c r="W13" i="19" s="1"/>
  <c r="Q18" i="19"/>
  <c r="V18" i="19" s="1"/>
  <c r="R27" i="19"/>
  <c r="W27" i="19" s="1"/>
  <c r="Q32" i="19"/>
  <c r="V32" i="19" s="1"/>
  <c r="R17" i="19"/>
  <c r="W17" i="19" s="1"/>
  <c r="Q22" i="19"/>
  <c r="V22" i="19" s="1"/>
  <c r="AD45" i="9"/>
  <c r="AE15" i="9"/>
  <c r="AE23" i="9"/>
  <c r="AE31" i="9"/>
  <c r="AD39" i="9"/>
  <c r="AE47" i="9"/>
  <c r="AE50" i="9"/>
  <c r="AE42" i="9"/>
  <c r="AE13" i="9"/>
  <c r="AE21" i="9"/>
  <c r="AE29" i="9"/>
  <c r="AE37" i="9"/>
  <c r="AE45" i="9"/>
  <c r="AD52" i="9"/>
  <c r="AD26" i="9"/>
  <c r="AD43" i="9"/>
  <c r="AD29" i="9"/>
  <c r="AE52" i="9"/>
  <c r="AD24" i="9"/>
  <c r="AD41" i="9"/>
  <c r="AD19" i="9"/>
  <c r="AD35" i="9"/>
  <c r="AE49" i="9"/>
  <c r="AD58" i="9"/>
  <c r="AE20" i="9"/>
  <c r="AE28" i="9"/>
  <c r="AE36" i="9"/>
  <c r="AE44" i="9"/>
  <c r="AD47" i="9"/>
  <c r="AE18" i="9"/>
  <c r="AE26" i="9"/>
  <c r="AE34" i="9"/>
  <c r="AD42" i="9"/>
  <c r="AD51" i="9"/>
  <c r="AD30" i="9"/>
  <c r="AD17" i="9"/>
  <c r="AD33" i="9"/>
  <c r="AD40" i="9"/>
  <c r="AD28" i="9"/>
  <c r="AD14" i="9"/>
  <c r="AD31" i="9"/>
  <c r="AE39" i="9"/>
  <c r="AD48" i="9"/>
  <c r="AE19" i="9"/>
  <c r="AE27" i="9"/>
  <c r="AE35" i="9"/>
  <c r="AE43" i="9"/>
  <c r="AD50" i="9"/>
  <c r="AD13" i="9"/>
  <c r="AD46" i="9"/>
  <c r="AE17" i="9"/>
  <c r="AE25" i="9"/>
  <c r="AE33" i="9"/>
  <c r="AE41" i="9"/>
  <c r="AE58" i="9"/>
  <c r="AD18" i="9"/>
  <c r="AD34" i="9"/>
  <c r="AD21" i="9"/>
  <c r="AD37" i="9"/>
  <c r="AD15" i="9"/>
  <c r="AD32" i="9"/>
  <c r="AD16" i="9"/>
  <c r="AD27" i="9"/>
  <c r="AD49" i="9"/>
  <c r="AD44" i="9"/>
  <c r="AE16" i="9"/>
  <c r="AE24" i="9"/>
  <c r="AE32" i="9"/>
  <c r="AE40" i="9"/>
  <c r="AE48" i="9"/>
  <c r="AE14" i="9"/>
  <c r="AE22" i="9"/>
  <c r="AE30" i="9"/>
  <c r="AE38" i="9"/>
  <c r="AE46" i="9"/>
  <c r="AD22" i="9"/>
  <c r="AD38" i="9"/>
  <c r="AD25" i="9"/>
  <c r="AE51" i="9"/>
  <c r="AD20" i="9"/>
  <c r="AD36" i="9"/>
  <c r="AD23" i="9"/>
  <c r="R43" i="9"/>
  <c r="W43" i="9" s="1"/>
  <c r="Q14" i="9"/>
  <c r="V14" i="9" s="1"/>
  <c r="Q22" i="9"/>
  <c r="V22" i="9" s="1"/>
  <c r="Q30" i="9"/>
  <c r="V30" i="9" s="1"/>
  <c r="Q38" i="9"/>
  <c r="V38" i="9" s="1"/>
  <c r="R46" i="9"/>
  <c r="W46" i="9" s="1"/>
  <c r="Q58" i="9"/>
  <c r="V58" i="9" s="1"/>
  <c r="Q20" i="9"/>
  <c r="V20" i="9" s="1"/>
  <c r="Q28" i="9"/>
  <c r="V28" i="9" s="1"/>
  <c r="Q36" i="9"/>
  <c r="V36" i="9" s="1"/>
  <c r="R44" i="9"/>
  <c r="W44" i="9" s="1"/>
  <c r="R50" i="9"/>
  <c r="W50" i="9" s="1"/>
  <c r="Q47" i="9"/>
  <c r="V47" i="9" s="1"/>
  <c r="Q19" i="9"/>
  <c r="V19" i="9" s="1"/>
  <c r="Q27" i="9"/>
  <c r="V27" i="9" s="1"/>
  <c r="Q35" i="9"/>
  <c r="V35" i="9" s="1"/>
  <c r="Q43" i="9"/>
  <c r="V43" i="9" s="1"/>
  <c r="Q52" i="9"/>
  <c r="V52" i="9" s="1"/>
  <c r="Q49" i="9"/>
  <c r="V49" i="9" s="1"/>
  <c r="R40" i="9"/>
  <c r="W40" i="9" s="1"/>
  <c r="Q45" i="9"/>
  <c r="V45" i="9" s="1"/>
  <c r="Q17" i="9"/>
  <c r="V17" i="9" s="1"/>
  <c r="Q25" i="9"/>
  <c r="V25" i="9" s="1"/>
  <c r="Q33" i="9"/>
  <c r="V33" i="9" s="1"/>
  <c r="Q41" i="9"/>
  <c r="V41" i="9" s="1"/>
  <c r="R58" i="9"/>
  <c r="W58" i="9" s="1"/>
  <c r="Q51" i="9"/>
  <c r="V51" i="9" s="1"/>
  <c r="Q44" i="9"/>
  <c r="V44" i="9" s="1"/>
  <c r="Q48" i="9"/>
  <c r="V48" i="9" s="1"/>
  <c r="R52" i="9"/>
  <c r="W52" i="9" s="1"/>
  <c r="R51" i="9"/>
  <c r="W51" i="9" s="1"/>
  <c r="Q50" i="9"/>
  <c r="V50" i="9" s="1"/>
  <c r="R49" i="9"/>
  <c r="W49" i="9" s="1"/>
  <c r="R15" i="9"/>
  <c r="W15" i="9" s="1"/>
  <c r="R17" i="9"/>
  <c r="W17" i="9" s="1"/>
  <c r="R19" i="9"/>
  <c r="W19" i="9" s="1"/>
  <c r="R21" i="9"/>
  <c r="W21" i="9" s="1"/>
  <c r="R23" i="9"/>
  <c r="W23" i="9" s="1"/>
  <c r="R25" i="9"/>
  <c r="W25" i="9" s="1"/>
  <c r="R27" i="9"/>
  <c r="W27" i="9" s="1"/>
  <c r="R29" i="9"/>
  <c r="W29" i="9" s="1"/>
  <c r="R31" i="9"/>
  <c r="W31" i="9" s="1"/>
  <c r="R33" i="9"/>
  <c r="W33" i="9" s="1"/>
  <c r="R35" i="9"/>
  <c r="W35" i="9" s="1"/>
  <c r="R37" i="9"/>
  <c r="W37" i="9" s="1"/>
  <c r="Q18" i="9"/>
  <c r="V18" i="9" s="1"/>
  <c r="Q26" i="9"/>
  <c r="V26" i="9" s="1"/>
  <c r="Q34" i="9"/>
  <c r="V34" i="9" s="1"/>
  <c r="R42" i="9"/>
  <c r="W42" i="9" s="1"/>
  <c r="Q16" i="9"/>
  <c r="V16" i="9" s="1"/>
  <c r="Q24" i="9"/>
  <c r="V24" i="9" s="1"/>
  <c r="Q32" i="9"/>
  <c r="V32" i="9" s="1"/>
  <c r="Q40" i="9"/>
  <c r="V40" i="9" s="1"/>
  <c r="R48" i="9"/>
  <c r="W48" i="9" s="1"/>
  <c r="Q42" i="9"/>
  <c r="V42" i="9" s="1"/>
  <c r="Q46" i="9"/>
  <c r="V46" i="9" s="1"/>
  <c r="R14" i="9"/>
  <c r="W14" i="9" s="1"/>
  <c r="R16" i="9"/>
  <c r="W16" i="9" s="1"/>
  <c r="R18" i="9"/>
  <c r="W18" i="9" s="1"/>
  <c r="R20" i="9"/>
  <c r="W20" i="9" s="1"/>
  <c r="R22" i="9"/>
  <c r="W22" i="9" s="1"/>
  <c r="R24" i="9"/>
  <c r="W24" i="9" s="1"/>
  <c r="R26" i="9"/>
  <c r="W26" i="9" s="1"/>
  <c r="R28" i="9"/>
  <c r="W28" i="9" s="1"/>
  <c r="R30" i="9"/>
  <c r="W30" i="9" s="1"/>
  <c r="R32" i="9"/>
  <c r="W32" i="9" s="1"/>
  <c r="R34" i="9"/>
  <c r="W34" i="9" s="1"/>
  <c r="R36" i="9"/>
  <c r="W36" i="9" s="1"/>
  <c r="R38" i="9"/>
  <c r="W38" i="9" s="1"/>
  <c r="R41" i="9"/>
  <c r="W41" i="9" s="1"/>
  <c r="Q15" i="9"/>
  <c r="V15" i="9" s="1"/>
  <c r="Q23" i="9"/>
  <c r="V23" i="9" s="1"/>
  <c r="Q31" i="9"/>
  <c r="V31" i="9" s="1"/>
  <c r="R39" i="9"/>
  <c r="W39" i="9" s="1"/>
  <c r="R47" i="9"/>
  <c r="W47" i="9" s="1"/>
  <c r="R13" i="9"/>
  <c r="W13" i="9" s="1"/>
  <c r="Q21" i="9"/>
  <c r="V21" i="9" s="1"/>
  <c r="Q29" i="9"/>
  <c r="V29" i="9" s="1"/>
  <c r="Q37" i="9"/>
  <c r="V37" i="9" s="1"/>
  <c r="R45" i="9"/>
  <c r="W45" i="9" s="1"/>
  <c r="Q13" i="9"/>
  <c r="V13" i="9" s="1"/>
  <c r="Q39" i="9"/>
  <c r="V39" i="9" s="1"/>
  <c r="C139" i="25" l="1"/>
  <c r="C126" i="25"/>
  <c r="C108" i="25"/>
  <c r="C118" i="25"/>
  <c r="C119" i="25"/>
  <c r="C141" i="25"/>
  <c r="C136" i="25"/>
  <c r="C137" i="25"/>
  <c r="C129" i="25"/>
  <c r="C132" i="25"/>
  <c r="C138" i="25"/>
  <c r="C127" i="25"/>
  <c r="C124" i="25"/>
  <c r="C143" i="25"/>
  <c r="C109" i="25"/>
  <c r="C121" i="25"/>
  <c r="C125" i="25"/>
  <c r="C122" i="25"/>
  <c r="C134" i="25"/>
  <c r="E53" i="33"/>
  <c r="C115" i="25"/>
  <c r="C111" i="25"/>
  <c r="C112" i="25"/>
  <c r="C135" i="25"/>
  <c r="C131" i="25"/>
  <c r="C117" i="25"/>
  <c r="C116" i="25"/>
  <c r="C130" i="25"/>
  <c r="C128" i="25"/>
  <c r="C133" i="25"/>
  <c r="C110" i="25"/>
  <c r="C113" i="25"/>
  <c r="C120" i="25"/>
  <c r="C114" i="25"/>
  <c r="C140" i="25"/>
  <c r="C123" i="25"/>
  <c r="F143" i="25"/>
  <c r="G112" i="25" s="1"/>
  <c r="C142" i="25"/>
  <c r="G141" i="25" l="1"/>
  <c r="G117" i="25"/>
  <c r="G123" i="25"/>
  <c r="G134" i="25"/>
  <c r="G118" i="25"/>
  <c r="G126" i="25"/>
  <c r="G124" i="25"/>
  <c r="G131" i="25"/>
  <c r="G110" i="25"/>
  <c r="G114" i="25"/>
  <c r="G138" i="25"/>
  <c r="G129" i="25"/>
  <c r="G133" i="25"/>
  <c r="G127" i="25"/>
  <c r="G140" i="25"/>
  <c r="G113" i="25"/>
  <c r="G132" i="25"/>
  <c r="G119" i="25"/>
  <c r="G142" i="25"/>
  <c r="G143" i="25"/>
  <c r="G111" i="25"/>
  <c r="G109" i="25"/>
  <c r="G130" i="25"/>
  <c r="G128" i="25"/>
  <c r="G115" i="25"/>
  <c r="G120" i="25"/>
  <c r="G137" i="25"/>
  <c r="G136" i="25"/>
  <c r="G121" i="25"/>
  <c r="G116" i="25"/>
  <c r="G125" i="25"/>
  <c r="G108" i="25"/>
  <c r="G135" i="25"/>
  <c r="G122" i="25"/>
  <c r="G139" i="25"/>
</calcChain>
</file>

<file path=xl/comments1.xml><?xml version="1.0" encoding="utf-8"?>
<comments xmlns="http://schemas.openxmlformats.org/spreadsheetml/2006/main">
  <authors>
    <author>rebrenner</author>
    <author>Steve Moffitt</author>
    <author>Moffitt, Steve D (DFG)</author>
  </authors>
  <commentList>
    <comment ref="A3" authorId="0">
      <text>
        <r>
          <rPr>
            <b/>
            <sz val="8"/>
            <color indexed="81"/>
            <rFont val="Tahoma"/>
            <family val="2"/>
          </rPr>
          <t>rebrenner:</t>
        </r>
        <r>
          <rPr>
            <sz val="8"/>
            <color indexed="81"/>
            <rFont val="Tahoma"/>
            <family val="2"/>
          </rPr>
          <t xml:space="preserve">
This goes into the Brd Link sheet
</t>
        </r>
      </text>
    </comment>
    <comment ref="B16" authorId="1">
      <text>
        <r>
          <rPr>
            <b/>
            <sz val="10"/>
            <color indexed="81"/>
            <rFont val="Tahoma"/>
            <family val="2"/>
          </rPr>
          <t>Steve Moffitt:</t>
        </r>
        <r>
          <rPr>
            <sz val="10"/>
            <color indexed="81"/>
            <rFont val="Tahoma"/>
            <family val="2"/>
          </rPr>
          <t xml:space="preserve">
Sport Harvest is NOT removed from this estimate.  Sonar data was used beginning in 1978.
These numbers are from the following file:
VOL2:\Salmon\CBRSalmon\AWL\[CatchbyAge_Sock.xls]By Run</t>
        </r>
      </text>
    </comment>
    <comment ref="D16" authorId="1">
      <text>
        <r>
          <rPr>
            <b/>
            <sz val="10"/>
            <color indexed="81"/>
            <rFont val="Tahoma"/>
            <family val="2"/>
          </rPr>
          <t xml:space="preserve">Steve Moffitt:
</t>
        </r>
        <r>
          <rPr>
            <sz val="20"/>
            <color indexed="81"/>
            <rFont val="Tahoma"/>
            <family val="2"/>
          </rPr>
          <t xml:space="preserve">Data are from the following file and was updated in 2013:
O:\DCF\CBRSalmon\HATCHERY\CONTRIB\[ADFG_GulkanaHatchery_HistoricalProduction.xlsx]Contributions
</t>
        </r>
      </text>
    </comment>
    <comment ref="F16" authorId="2">
      <text>
        <r>
          <rPr>
            <b/>
            <sz val="9"/>
            <color indexed="81"/>
            <rFont val="Tahoma"/>
            <family val="2"/>
          </rPr>
          <t xml:space="preserve">Moffitt, Steve D (DFG):
</t>
        </r>
        <r>
          <rPr>
            <sz val="9"/>
            <color indexed="81"/>
            <rFont val="Tahoma"/>
            <family val="2"/>
          </rPr>
          <t xml:space="preserve">
</t>
        </r>
        <r>
          <rPr>
            <sz val="18"/>
            <color indexed="81"/>
            <rFont val="Tahoma"/>
            <family val="2"/>
          </rPr>
          <t>From:
Catch_byAge_SOCKEYE.xls
Worksheet "Total_run_Size" column L</t>
        </r>
      </text>
    </comment>
    <comment ref="L16" authorId="1">
      <text>
        <r>
          <rPr>
            <b/>
            <sz val="10"/>
            <color indexed="81"/>
            <rFont val="Tahoma"/>
            <family val="2"/>
          </rPr>
          <t xml:space="preserve">Steve Moffitt:
</t>
        </r>
        <r>
          <rPr>
            <sz val="10"/>
            <color indexed="81"/>
            <rFont val="Tahoma"/>
            <family val="2"/>
          </rPr>
          <t>Data from the following file:
VOL2:\Salmon\CBRSalmon\HATCHERY\CONTRIB\[Gulkana Contributions 1974-2007.xls]Sheet1
Does not match very well with data in the following:
R:\Salmon\CBRSalmon\AWL\[CatchbyAge_Sock.xls]Hatchery Returns
IS THIS BECAUSE SOME INCLUDE MAIN BAY AND OTHER ENHANCED FISH, WHILE OTHERS ONLY INCLUDE GULKANA</t>
        </r>
        <r>
          <rPr>
            <b/>
            <sz val="16"/>
            <color indexed="81"/>
            <rFont val="Tahoma"/>
            <family val="2"/>
          </rPr>
          <t xml:space="preserve">
This requires more digging!!</t>
        </r>
      </text>
    </comment>
    <comment ref="R16" authorId="1">
      <text>
        <r>
          <rPr>
            <b/>
            <sz val="10"/>
            <color indexed="81"/>
            <rFont val="Tahoma"/>
            <family val="2"/>
          </rPr>
          <t>Steve Moffitt:</t>
        </r>
        <r>
          <rPr>
            <sz val="10"/>
            <color indexed="81"/>
            <rFont val="Tahoma"/>
            <family val="2"/>
          </rPr>
          <t xml:space="preserve">
Sport Harvest is NOT removed from this estimate.  Sonar data was used beginning in 1978.
These numbers are from the following file:
VOL2:\Salmon\CBRSalmon\AWL\[CatchbyAge_Sock.xls]UCR Spwn Esc
Sheet "UCR spwn esc" column Q</t>
        </r>
      </text>
    </comment>
    <comment ref="T16" authorId="1">
      <text>
        <r>
          <rPr>
            <b/>
            <sz val="10"/>
            <color indexed="81"/>
            <rFont val="Tahoma"/>
            <family val="2"/>
          </rPr>
          <t>Steve Moffitt:</t>
        </r>
        <r>
          <rPr>
            <sz val="10"/>
            <color indexed="81"/>
            <rFont val="Tahoma"/>
            <family val="2"/>
          </rPr>
          <t xml:space="preserve">
Sport Harvest is NOT removed from this estimate and they are not adjusted for observer efficiency.
These numbers are from the following file:
VOL2:\Salmon\CBRSalmon\AWL\[CatchbyAge_Sock.xls]Delta Esc</t>
        </r>
      </text>
    </comment>
    <comment ref="Y16" authorId="1">
      <text>
        <r>
          <rPr>
            <b/>
            <sz val="10"/>
            <color indexed="81"/>
            <rFont val="Tahoma"/>
            <family val="2"/>
          </rPr>
          <t>Steve Moffitt:</t>
        </r>
        <r>
          <rPr>
            <sz val="10"/>
            <color indexed="81"/>
            <rFont val="Tahoma"/>
            <family val="2"/>
          </rPr>
          <t xml:space="preserve">
</t>
        </r>
        <r>
          <rPr>
            <sz val="18"/>
            <color indexed="81"/>
            <rFont val="Tahoma"/>
            <family val="2"/>
          </rPr>
          <t>Adjusted for DIDSON and to represent just sockeye salmon.</t>
        </r>
      </text>
    </comment>
    <comment ref="J17" authorId="0">
      <text>
        <r>
          <rPr>
            <b/>
            <sz val="14"/>
            <color indexed="81"/>
            <rFont val="Tahoma"/>
            <family val="2"/>
          </rPr>
          <t>rebrenner:</t>
        </r>
        <r>
          <rPr>
            <sz val="14"/>
            <color indexed="81"/>
            <rFont val="Tahoma"/>
            <family val="2"/>
          </rPr>
          <t xml:space="preserve">
From 1972-1973 AMR, Appendix Table 7, pg. 166</t>
        </r>
        <r>
          <rPr>
            <sz val="9"/>
            <color indexed="81"/>
            <rFont val="Tahoma"/>
            <family val="2"/>
          </rPr>
          <t xml:space="preserve">
</t>
        </r>
      </text>
    </comment>
    <comment ref="R106" authorId="2">
      <text>
        <r>
          <rPr>
            <b/>
            <sz val="8"/>
            <color indexed="81"/>
            <rFont val="Tahoma"/>
            <family val="2"/>
          </rPr>
          <t>Moffitt, Steve D (DFG):</t>
        </r>
        <r>
          <rPr>
            <sz val="8"/>
            <color indexed="81"/>
            <rFont val="Tahoma"/>
            <family val="2"/>
          </rPr>
          <t xml:space="preserve">
</t>
        </r>
        <r>
          <rPr>
            <sz val="12"/>
            <color indexed="81"/>
            <rFont val="Tahoma"/>
            <family val="2"/>
          </rPr>
          <t>Miles Lake sonar minus Chinoook + PU + Sub + sport + Hatchery brood + Hatchery Excess.  
O:\DCF\Salmon\ESCAPEMENT\1_Escapement_Goal_analysis\111_Catch &amp; Escapement by Stock\Sockeye Salmon\Historical_CR_Sockeye_harvest_esc.xls</t>
        </r>
      </text>
    </comment>
    <comment ref="N142" authorId="2">
      <text>
        <r>
          <rPr>
            <b/>
            <sz val="9"/>
            <color indexed="81"/>
            <rFont val="Tahoma"/>
            <family val="2"/>
          </rPr>
          <t xml:space="preserve">Moffitt, Steve D (DFG):
</t>
        </r>
        <r>
          <rPr>
            <sz val="9"/>
            <color indexed="81"/>
            <rFont val="Tahoma"/>
            <family val="2"/>
          </rPr>
          <t xml:space="preserve">
Commerical total minus Main Bay Hatchery Contribution (72,500)</t>
        </r>
      </text>
    </comment>
    <comment ref="R142" authorId="2">
      <text>
        <r>
          <rPr>
            <b/>
            <sz val="9"/>
            <color indexed="81"/>
            <rFont val="Tahoma"/>
            <family val="2"/>
          </rPr>
          <t>Moffitt, Steve D (DFG):</t>
        </r>
        <r>
          <rPr>
            <sz val="9"/>
            <color indexed="81"/>
            <rFont val="Tahoma"/>
            <family val="2"/>
          </rPr>
          <t xml:space="preserve">
Preliminary pending final sport fish harvest numbers</t>
        </r>
      </text>
    </comment>
  </commentList>
</comments>
</file>

<file path=xl/comments2.xml><?xml version="1.0" encoding="utf-8"?>
<comments xmlns="http://schemas.openxmlformats.org/spreadsheetml/2006/main">
  <authors>
    <author>Moffitt, Steve D (DFG)</author>
  </authors>
  <commentList>
    <comment ref="E15" authorId="0">
      <text>
        <r>
          <rPr>
            <b/>
            <sz val="8"/>
            <color indexed="81"/>
            <rFont val="Tahoma"/>
            <family val="2"/>
          </rPr>
          <t>Moffitt, Steve D (DFG):</t>
        </r>
        <r>
          <rPr>
            <sz val="8"/>
            <color indexed="81"/>
            <rFont val="Tahoma"/>
            <family val="2"/>
          </rPr>
          <t xml:space="preserve">
Based on performance and not a sum of individual age CI.</t>
        </r>
      </text>
    </comment>
    <comment ref="G15" authorId="0">
      <text>
        <r>
          <rPr>
            <b/>
            <sz val="8"/>
            <color indexed="81"/>
            <rFont val="Tahoma"/>
            <family val="2"/>
          </rPr>
          <t>Moffitt, Steve D (DFG):</t>
        </r>
        <r>
          <rPr>
            <sz val="8"/>
            <color indexed="81"/>
            <rFont val="Tahoma"/>
            <family val="2"/>
          </rPr>
          <t xml:space="preserve">
Based on performance and not a sum of individual age CI.</t>
        </r>
      </text>
    </comment>
  </commentList>
</comments>
</file>

<file path=xl/comments3.xml><?xml version="1.0" encoding="utf-8"?>
<comments xmlns="http://schemas.openxmlformats.org/spreadsheetml/2006/main">
  <authors>
    <author>Steve Moffitt</author>
    <author>Moffitt, Steve D (DFG)</author>
  </authors>
  <commentList>
    <comment ref="C9" authorId="0">
      <text>
        <r>
          <rPr>
            <b/>
            <sz val="8"/>
            <color indexed="81"/>
            <rFont val="Tahoma"/>
            <family val="2"/>
          </rPr>
          <t>Steve Moffitt:</t>
        </r>
        <r>
          <rPr>
            <sz val="8"/>
            <color indexed="81"/>
            <rFont val="Tahoma"/>
            <family val="2"/>
          </rPr>
          <t xml:space="preserve">
</t>
        </r>
        <r>
          <rPr>
            <sz val="24"/>
            <color indexed="10"/>
            <rFont val="Tahoma"/>
            <family val="2"/>
          </rPr>
          <t>Check all of these to ensure the formulas were updated!</t>
        </r>
      </text>
    </comment>
    <comment ref="J9" authorId="0">
      <text>
        <r>
          <rPr>
            <b/>
            <sz val="12"/>
            <color indexed="81"/>
            <rFont val="Tahoma"/>
            <family val="2"/>
          </rPr>
          <t>Steve Moffitt:</t>
        </r>
        <r>
          <rPr>
            <sz val="12"/>
            <color indexed="81"/>
            <rFont val="Tahoma"/>
            <family val="2"/>
          </rPr>
          <t xml:space="preserve">
Mean Absolute percentage error 
(leaving one out error)
</t>
        </r>
      </text>
    </comment>
    <comment ref="K9" authorId="0">
      <text>
        <r>
          <rPr>
            <b/>
            <sz val="12"/>
            <color indexed="81"/>
            <rFont val="Tahoma"/>
            <family val="2"/>
          </rPr>
          <t>Steve Moffitt:</t>
        </r>
        <r>
          <rPr>
            <sz val="12"/>
            <color indexed="81"/>
            <rFont val="Tahoma"/>
            <family val="2"/>
          </rPr>
          <t xml:space="preserve">
MSE (leaving one out error)</t>
        </r>
      </text>
    </comment>
    <comment ref="C25" authorId="0">
      <text>
        <r>
          <rPr>
            <b/>
            <sz val="8"/>
            <color indexed="81"/>
            <rFont val="Tahoma"/>
            <family val="2"/>
          </rPr>
          <t>Steve Moffitt:</t>
        </r>
        <r>
          <rPr>
            <sz val="8"/>
            <color indexed="81"/>
            <rFont val="Tahoma"/>
            <family val="2"/>
          </rPr>
          <t xml:space="preserve">
</t>
        </r>
        <r>
          <rPr>
            <sz val="12"/>
            <color indexed="81"/>
            <rFont val="Tahoma"/>
            <family val="2"/>
          </rPr>
          <t>Only includes brood years with complete returns (through age 7)</t>
        </r>
      </text>
    </comment>
    <comment ref="F30" authorId="0">
      <text>
        <r>
          <rPr>
            <b/>
            <sz val="12"/>
            <color indexed="81"/>
            <rFont val="Tahoma"/>
            <family val="2"/>
          </rPr>
          <t>Steve Moffitt:</t>
        </r>
        <r>
          <rPr>
            <sz val="12"/>
            <color indexed="81"/>
            <rFont val="Tahoma"/>
            <family val="2"/>
          </rPr>
          <t xml:space="preserve">
Fry release data is from tag lab web site for tagged smolt or fry.
Or from PWSAC annual reports or tagging reports.</t>
        </r>
      </text>
    </comment>
    <comment ref="E31" authorId="0">
      <text>
        <r>
          <rPr>
            <b/>
            <sz val="8"/>
            <color indexed="81"/>
            <rFont val="Tahoma"/>
            <family val="2"/>
          </rPr>
          <t>Steve Moffitt:</t>
        </r>
        <r>
          <rPr>
            <sz val="8"/>
            <color indexed="81"/>
            <rFont val="Tahoma"/>
            <family val="2"/>
          </rPr>
          <t xml:space="preserve">
Generate a new estimtate from existing contribution data.</t>
        </r>
      </text>
    </comment>
    <comment ref="F31" authorId="0">
      <text>
        <r>
          <rPr>
            <b/>
            <sz val="12"/>
            <color indexed="81"/>
            <rFont val="Tahoma"/>
            <family val="2"/>
          </rPr>
          <t>Steve Moffitt:</t>
        </r>
        <r>
          <rPr>
            <sz val="12"/>
            <color indexed="81"/>
            <rFont val="Tahoma"/>
            <family val="2"/>
          </rPr>
          <t xml:space="preserve">
Entered on 1/14/2015
O:\DCF\Salmon\CBRSalmon\HATCHERY\Gulkana Hatchery smolt data\[Gullkana_Fry~Smolt_1974-2011.xls</t>
        </r>
      </text>
    </comment>
    <comment ref="F32" authorId="0">
      <text>
        <r>
          <rPr>
            <b/>
            <sz val="12"/>
            <color indexed="81"/>
            <rFont val="Tahoma"/>
            <family val="2"/>
          </rPr>
          <t>Steve Moffitt:</t>
        </r>
        <r>
          <rPr>
            <sz val="12"/>
            <color indexed="81"/>
            <rFont val="Tahoma"/>
            <family val="2"/>
          </rPr>
          <t xml:space="preserve">
Entered on 1/14/2015
O:\DCF\Salmon\CBRSalmon\HATCHERY\Gulkana Hatchery smolt data\[Gullkana_Fry~Smolt_1974-2011.xls</t>
        </r>
      </text>
    </comment>
    <comment ref="F35" authorId="0">
      <text>
        <r>
          <rPr>
            <b/>
            <sz val="12"/>
            <color indexed="81"/>
            <rFont val="Tahoma"/>
            <family val="2"/>
          </rPr>
          <t>Steve Moffitt:</t>
        </r>
        <r>
          <rPr>
            <sz val="12"/>
            <color indexed="81"/>
            <rFont val="Tahoma"/>
            <family val="2"/>
          </rPr>
          <t xml:space="preserve">
Entered on 1/6/2014
O:\DCF\Salmon\CBRSalmon\HATCHERY\Gulkana Hatchery smolt data\[Gullkana_Fry~Smolt_1974-2011.xls</t>
        </r>
      </text>
    </comment>
    <comment ref="F36" authorId="0">
      <text>
        <r>
          <rPr>
            <b/>
            <sz val="12"/>
            <color indexed="81"/>
            <rFont val="Tahoma"/>
            <family val="2"/>
          </rPr>
          <t>Steve Moffitt:</t>
        </r>
        <r>
          <rPr>
            <sz val="12"/>
            <color indexed="81"/>
            <rFont val="Tahoma"/>
            <family val="2"/>
          </rPr>
          <t xml:space="preserve">
Entered on 1/6/2014
O:\DCF\Salmon\CBRSalmon\HATCHERY\Gulkana Hatchery smolt data\[Gullkana_Fry~Smolt_1974-2011.xls</t>
        </r>
      </text>
    </comment>
    <comment ref="E39" authorId="0">
      <text>
        <r>
          <rPr>
            <b/>
            <sz val="12"/>
            <color indexed="81"/>
            <rFont val="Tahoma"/>
            <family val="2"/>
          </rPr>
          <t>Steve Moffitt:</t>
        </r>
        <r>
          <rPr>
            <sz val="12"/>
            <color indexed="81"/>
            <rFont val="Tahoma"/>
            <family val="2"/>
          </rPr>
          <t xml:space="preserve">
Entered 11/20/2005 from 42Hat.xls.
Brood year 1995-1998 survivals.  PWSAC started Sr otolith marking in brood year 1999 and all fish were given the same mark, so no further site specific smolt to adult survival estimates will be possible. </t>
        </r>
      </text>
    </comment>
    <comment ref="F39" authorId="0">
      <text>
        <r>
          <rPr>
            <b/>
            <sz val="12"/>
            <color indexed="81"/>
            <rFont val="Tahoma"/>
            <family val="2"/>
          </rPr>
          <t>Steve Moffitt:</t>
        </r>
        <r>
          <rPr>
            <sz val="12"/>
            <color indexed="81"/>
            <rFont val="Tahoma"/>
            <family val="2"/>
          </rPr>
          <t xml:space="preserve">
Entered on 1/6/2014
O:\DCF\Salmon\CBRSalmon\HATCHERY\Gulkana Hatchery smolt data\[Gullkana_Fry~Smolt_1974-2011.xls</t>
        </r>
      </text>
    </comment>
    <comment ref="E40" authorId="0">
      <text>
        <r>
          <rPr>
            <b/>
            <sz val="12"/>
            <color indexed="81"/>
            <rFont val="Tahoma"/>
            <family val="2"/>
          </rPr>
          <t>Steve Moffitt:</t>
        </r>
        <r>
          <rPr>
            <sz val="12"/>
            <color indexed="81"/>
            <rFont val="Tahoma"/>
            <family val="2"/>
          </rPr>
          <t xml:space="preserve">
Entered 11/20/2005 from 42Hat.xls.
Brood year 1995-1998 survivals.  PWSAC started Sr otolith marking in brood year 1999 and all fish were given the same mark, so no further site specific smolt to adult survival estimates will be possible. </t>
        </r>
      </text>
    </comment>
    <comment ref="F40" authorId="0">
      <text>
        <r>
          <rPr>
            <b/>
            <sz val="12"/>
            <color indexed="81"/>
            <rFont val="Tahoma"/>
            <family val="2"/>
          </rPr>
          <t>Steve Moffitt:</t>
        </r>
        <r>
          <rPr>
            <sz val="12"/>
            <color indexed="81"/>
            <rFont val="Tahoma"/>
            <family val="2"/>
          </rPr>
          <t xml:space="preserve">
Entered on 1/6/2014
O:\DCF\Salmon\CBRSalmon\HATCHERY\Gulkana Hatchery smolt data\[Gullkana_Fry~Smolt_1974-2011.xls</t>
        </r>
      </text>
    </comment>
    <comment ref="E42" authorId="0">
      <text>
        <r>
          <rPr>
            <b/>
            <sz val="12"/>
            <color indexed="81"/>
            <rFont val="Tahoma"/>
            <family val="2"/>
          </rPr>
          <t>Steve Moffitt:</t>
        </r>
        <r>
          <rPr>
            <sz val="12"/>
            <color indexed="81"/>
            <rFont val="Tahoma"/>
            <family val="2"/>
          </rPr>
          <t xml:space="preserve">
Entered 11/20/2005 from 42Hat.xls.
Brood year 1995-1998 survivals.  PWSAC started Sr otolith marking in brood year 1999 and all fish were given the same mark, so no further site specific smolt to adult survival estimates will be possible. </t>
        </r>
      </text>
    </comment>
    <comment ref="F42" authorId="0">
      <text>
        <r>
          <rPr>
            <b/>
            <sz val="12"/>
            <color indexed="81"/>
            <rFont val="Tahoma"/>
            <family val="2"/>
          </rPr>
          <t>Steve Moffitt:</t>
        </r>
        <r>
          <rPr>
            <sz val="12"/>
            <color indexed="81"/>
            <rFont val="Tahoma"/>
            <family val="2"/>
          </rPr>
          <t xml:space="preserve">
Entered on 1/6/2014
O:\DCF\Salmon\CBRSalmon\HATCHERY\Gulkana Hatchery smolt data\[Gullkana_Fry~Smolt_1974-2011.xls
</t>
        </r>
        <r>
          <rPr>
            <sz val="16"/>
            <color indexed="10"/>
            <rFont val="Tahoma"/>
            <family val="2"/>
          </rPr>
          <t>No smolt counts in 2013 due to flooding. The value used for the 2015 forecast is the recent 2 year average (2011 and 2012 smolt years).</t>
        </r>
      </text>
    </comment>
    <comment ref="E43" authorId="0">
      <text>
        <r>
          <rPr>
            <b/>
            <sz val="12"/>
            <color indexed="81"/>
            <rFont val="Tahoma"/>
            <family val="2"/>
          </rPr>
          <t>Steve Moffitt:</t>
        </r>
        <r>
          <rPr>
            <sz val="12"/>
            <color indexed="81"/>
            <rFont val="Tahoma"/>
            <family val="2"/>
          </rPr>
          <t xml:space="preserve">
Entered 11/20/2005 from 42Hat.xls.
Brood year 1995-1998 survivals.  PWSAC started Sr otolith marking in brood year 1999 and all fish were given the same mark, so no further site specific smolt to adult survival estimates will be possible. </t>
        </r>
      </text>
    </comment>
    <comment ref="F43" authorId="0">
      <text>
        <r>
          <rPr>
            <b/>
            <sz val="12"/>
            <color indexed="81"/>
            <rFont val="Tahoma"/>
            <family val="2"/>
          </rPr>
          <t>Steve Moffitt:</t>
        </r>
        <r>
          <rPr>
            <sz val="12"/>
            <color indexed="81"/>
            <rFont val="Tahoma"/>
            <family val="2"/>
          </rPr>
          <t xml:space="preserve">
Entered on 1/6/2014
O:\DCF\Salmon\CBRSalmon\HATCHERY\Gulkana Hatchery smolt data\[Gullkana_Fry~Smolt_1974-2011.xls</t>
        </r>
      </text>
    </comment>
    <comment ref="G45" authorId="1">
      <text>
        <r>
          <rPr>
            <b/>
            <sz val="9"/>
            <color indexed="81"/>
            <rFont val="Tahoma"/>
            <family val="2"/>
          </rPr>
          <t xml:space="preserve">Moffitt, Steve D (DFG):
</t>
        </r>
        <r>
          <rPr>
            <sz val="9"/>
            <color indexed="81"/>
            <rFont val="Tahoma"/>
            <family val="2"/>
          </rPr>
          <t xml:space="preserve">
</t>
        </r>
        <r>
          <rPr>
            <sz val="18"/>
            <color indexed="81"/>
            <rFont val="Tahoma"/>
            <family val="2"/>
          </rPr>
          <t>Did not use the section in yellow in 2015.  The hatchery forecast is a fry to adult from worksheet "Fry to adult survival"</t>
        </r>
      </text>
    </comment>
    <comment ref="G60" authorId="0">
      <text>
        <r>
          <rPr>
            <b/>
            <sz val="12"/>
            <color indexed="81"/>
            <rFont val="Tahoma"/>
            <family val="2"/>
          </rPr>
          <t>Steve Moffitt: 2012</t>
        </r>
        <r>
          <rPr>
            <sz val="8"/>
            <color indexed="81"/>
            <rFont val="Tahoma"/>
            <family val="2"/>
          </rPr>
          <t xml:space="preserve">
</t>
        </r>
        <r>
          <rPr>
            <sz val="12"/>
            <color indexed="81"/>
            <rFont val="Tahoma"/>
            <family val="2"/>
          </rPr>
          <t xml:space="preserve">See Clark et al. (2007) SP NO. 07-17 Biological and Fishery-Related Aspects of Overescapement in Alaska Sockeye Salmon. Table 2 lists the estimated exploitation rate at MSY (Ricker model) for stocks in Alaska. This table lists </t>
        </r>
        <r>
          <rPr>
            <sz val="12"/>
            <color indexed="81"/>
            <rFont val="Times New Roman"/>
            <family val="1"/>
          </rPr>
          <t>μ</t>
        </r>
        <r>
          <rPr>
            <sz val="12"/>
            <color indexed="81"/>
            <rFont val="Tahoma"/>
            <family val="2"/>
          </rPr>
          <t xml:space="preserve">msy = 0.70 for the Copper River (UCR and Delta combined) and that is what I used here. 
In most previous years, I used an average of the recent years exploitation rates (0.63 to 0.67).  However, the low exploitaiton rates in 2008-2010 brought the long-term (1990-2011) weighed average down to 0.56
</t>
        </r>
      </text>
    </comment>
    <comment ref="G61" authorId="0">
      <text>
        <r>
          <rPr>
            <b/>
            <sz val="12"/>
            <color indexed="81"/>
            <rFont val="Tahoma"/>
            <family val="2"/>
          </rPr>
          <t>Steve Moffitt:</t>
        </r>
        <r>
          <rPr>
            <sz val="8"/>
            <color indexed="81"/>
            <rFont val="Tahoma"/>
            <family val="2"/>
          </rPr>
          <t xml:space="preserve">
</t>
        </r>
        <r>
          <rPr>
            <sz val="12"/>
            <color indexed="81"/>
            <rFont val="Tahoma"/>
            <family val="2"/>
          </rPr>
          <t>S:\Escapement_Goal_analysis\Catch &amp; Escapement by Stock\Sockeye Salmon</t>
        </r>
      </text>
    </comment>
    <comment ref="G70" authorId="0">
      <text>
        <r>
          <rPr>
            <b/>
            <sz val="8"/>
            <color indexed="81"/>
            <rFont val="Tahoma"/>
            <family val="2"/>
          </rPr>
          <t>Steve Moffitt:</t>
        </r>
        <r>
          <rPr>
            <sz val="8"/>
            <color indexed="81"/>
            <rFont val="Tahoma"/>
            <family val="2"/>
          </rPr>
          <t xml:space="preserve">
</t>
        </r>
        <r>
          <rPr>
            <sz val="12"/>
            <color indexed="81"/>
            <rFont val="Tahoma"/>
            <family val="2"/>
          </rPr>
          <t xml:space="preserve">Five year average (2008-2012) 
</t>
        </r>
        <r>
          <rPr>
            <sz val="14"/>
            <color indexed="81"/>
            <rFont val="Tahoma"/>
            <family val="2"/>
          </rPr>
          <t xml:space="preserve">
State and Federal Expanded</t>
        </r>
      </text>
    </comment>
    <comment ref="G71" authorId="0">
      <text>
        <r>
          <rPr>
            <b/>
            <sz val="8"/>
            <color indexed="81"/>
            <rFont val="Tahoma"/>
            <family val="2"/>
          </rPr>
          <t>Steve Moffitt:</t>
        </r>
        <r>
          <rPr>
            <sz val="8"/>
            <color indexed="81"/>
            <rFont val="Tahoma"/>
            <family val="2"/>
          </rPr>
          <t xml:space="preserve">
</t>
        </r>
        <r>
          <rPr>
            <sz val="12"/>
            <color indexed="81"/>
            <rFont val="Tahoma"/>
            <family val="2"/>
          </rPr>
          <t xml:space="preserve">Five year average (2008-2012) 
</t>
        </r>
        <r>
          <rPr>
            <sz val="14"/>
            <color indexed="81"/>
            <rFont val="Tahoma"/>
            <family val="2"/>
          </rPr>
          <t xml:space="preserve">
State and Federal Expanded</t>
        </r>
      </text>
    </comment>
  </commentList>
</comments>
</file>

<file path=xl/comments4.xml><?xml version="1.0" encoding="utf-8"?>
<comments xmlns="http://schemas.openxmlformats.org/spreadsheetml/2006/main">
  <authors>
    <author>Steve Moffitt</author>
    <author>rebrenner</author>
    <author>Moffitt, Steve D (DFG)</author>
  </authors>
  <commentList>
    <comment ref="K3" authorId="0">
      <text>
        <r>
          <rPr>
            <b/>
            <sz val="8"/>
            <color indexed="81"/>
            <rFont val="Tahoma"/>
            <family val="2"/>
          </rPr>
          <t>Steve Moffitt:</t>
        </r>
        <r>
          <rPr>
            <sz val="8"/>
            <color indexed="81"/>
            <rFont val="Tahoma"/>
            <family val="2"/>
          </rPr>
          <t xml:space="preserve">
</t>
        </r>
        <r>
          <rPr>
            <sz val="12"/>
            <color indexed="81"/>
            <rFont val="Tahoma"/>
            <family val="2"/>
          </rPr>
          <t>Confidence Interval = t_n-1,.02 * MSE +/- Forecast</t>
        </r>
      </text>
    </comment>
    <comment ref="C7" authorId="1">
      <text>
        <r>
          <rPr>
            <b/>
            <sz val="20"/>
            <color indexed="81"/>
            <rFont val="Tahoma"/>
            <family val="2"/>
          </rPr>
          <t>Steve Moffitt:</t>
        </r>
        <r>
          <rPr>
            <sz val="20"/>
            <color indexed="81"/>
            <rFont val="Tahoma"/>
            <family val="2"/>
          </rPr>
          <t xml:space="preserve"> Total run forecast= natural + wild Get from previous years forecast spreadsheet.</t>
        </r>
      </text>
    </comment>
    <comment ref="D7" authorId="0">
      <text>
        <r>
          <rPr>
            <b/>
            <sz val="12"/>
            <color indexed="81"/>
            <rFont val="Tahoma"/>
            <family val="2"/>
          </rPr>
          <t>Steve Moffitt:</t>
        </r>
        <r>
          <rPr>
            <sz val="12"/>
            <color indexed="81"/>
            <rFont val="Tahoma"/>
            <family val="2"/>
          </rPr>
          <t xml:space="preserve">
Total run = commercial harvest  + delta escapement X 2 + Commercial "Personal use" + Copper River District subsistence + adjusted UCR past sonar
UCR past sonar = total sonar count * proportion of sockeye salmon in the PU/Sub fishery.
Data from S:\Escapement_Goal_analysis\Catch &amp; Escapment by Stock\Sockeye Salmon</t>
        </r>
      </text>
    </comment>
    <comment ref="E7" authorId="0">
      <text>
        <r>
          <rPr>
            <b/>
            <sz val="8"/>
            <color indexed="81"/>
            <rFont val="Tahoma"/>
            <family val="2"/>
          </rPr>
          <t>Steve Moffitt:</t>
        </r>
        <r>
          <rPr>
            <sz val="8"/>
            <color indexed="81"/>
            <rFont val="Tahoma"/>
            <family val="2"/>
          </rPr>
          <t xml:space="preserve">
</t>
        </r>
        <r>
          <rPr>
            <sz val="10"/>
            <color indexed="81"/>
            <rFont val="Tahoma"/>
            <family val="2"/>
          </rPr>
          <t>Over forecast: Forecast too high</t>
        </r>
      </text>
    </comment>
    <comment ref="F7" authorId="0">
      <text>
        <r>
          <rPr>
            <b/>
            <sz val="8"/>
            <color indexed="81"/>
            <rFont val="Tahoma"/>
            <family val="2"/>
          </rPr>
          <t>Steve Moffitt:</t>
        </r>
        <r>
          <rPr>
            <sz val="8"/>
            <color indexed="81"/>
            <rFont val="Tahoma"/>
            <family val="2"/>
          </rPr>
          <t xml:space="preserve">
</t>
        </r>
        <r>
          <rPr>
            <sz val="10"/>
            <color indexed="81"/>
            <rFont val="Tahoma"/>
            <family val="2"/>
          </rPr>
          <t>Under forecast: forecast too low.</t>
        </r>
      </text>
    </comment>
    <comment ref="I7" authorId="1">
      <text>
        <r>
          <rPr>
            <b/>
            <sz val="20"/>
            <color indexed="81"/>
            <rFont val="Tahoma"/>
            <family val="2"/>
          </rPr>
          <t>Steve Moffitt:</t>
        </r>
        <r>
          <rPr>
            <sz val="20"/>
            <color indexed="81"/>
            <rFont val="Tahoma"/>
            <family val="2"/>
          </rPr>
          <t xml:space="preserve"> Total run forecast= natural + wild Get from previous years forecast spreadsheet.</t>
        </r>
      </text>
    </comment>
    <comment ref="J7" authorId="0">
      <text>
        <r>
          <rPr>
            <b/>
            <sz val="14"/>
            <color indexed="81"/>
            <rFont val="Tahoma"/>
            <family val="2"/>
          </rPr>
          <t>Steve Moffitt:</t>
        </r>
        <r>
          <rPr>
            <sz val="8"/>
            <color indexed="81"/>
            <rFont val="Tahoma"/>
            <family val="2"/>
          </rPr>
          <t xml:space="preserve">
</t>
        </r>
        <r>
          <rPr>
            <sz val="14"/>
            <color indexed="81"/>
            <rFont val="Tahoma"/>
            <family val="2"/>
          </rPr>
          <t>From annual catch report.</t>
        </r>
      </text>
    </comment>
    <comment ref="C34" authorId="1">
      <text>
        <r>
          <rPr>
            <b/>
            <sz val="8"/>
            <color indexed="81"/>
            <rFont val="Tahoma"/>
            <family val="2"/>
          </rPr>
          <t>rebrenner:</t>
        </r>
        <r>
          <rPr>
            <sz val="8"/>
            <color indexed="81"/>
            <rFont val="Tahoma"/>
            <family val="2"/>
          </rPr>
          <t xml:space="preserve">
</t>
        </r>
        <r>
          <rPr>
            <sz val="20"/>
            <color indexed="81"/>
            <rFont val="Tahoma"/>
            <family val="2"/>
          </rPr>
          <t>From 2008 Copper River Wild Sockeye forecast.xls.  Scroll to the bottom of the Fcst Sumry Tab to find this TOTAL PRODUCTION estimate.</t>
        </r>
      </text>
    </comment>
    <comment ref="G48" authorId="0">
      <text>
        <r>
          <rPr>
            <b/>
            <sz val="12"/>
            <color indexed="81"/>
            <rFont val="Tahoma"/>
            <family val="2"/>
          </rPr>
          <t>Steve Moffitt:</t>
        </r>
        <r>
          <rPr>
            <sz val="8"/>
            <color indexed="81"/>
            <rFont val="Tahoma"/>
            <family val="2"/>
          </rPr>
          <t xml:space="preserve">
</t>
        </r>
        <r>
          <rPr>
            <sz val="12"/>
            <color indexed="81"/>
            <rFont val="Tahoma"/>
            <family val="2"/>
          </rPr>
          <t>Use this to calcaulate the  total run 80% CI. 
Total run estimate plus/minus t(n-1,0.2)*mean total run forecast error
See Fried and Yuen 1989 for details.</t>
        </r>
      </text>
    </comment>
    <comment ref="H48" authorId="0">
      <text>
        <r>
          <rPr>
            <b/>
            <sz val="12"/>
            <color indexed="81"/>
            <rFont val="Tahoma"/>
            <family val="2"/>
          </rPr>
          <t>Steve Moffitt:</t>
        </r>
        <r>
          <rPr>
            <sz val="12"/>
            <color indexed="81"/>
            <rFont val="Tahoma"/>
            <family val="2"/>
          </rPr>
          <t xml:space="preserve">
80% CI as a percentage of the Total Run forecast.  Make sure this formula gets updated to the</t>
        </r>
        <r>
          <rPr>
            <sz val="12"/>
            <color indexed="10"/>
            <rFont val="Tahoma"/>
            <family val="2"/>
          </rPr>
          <t xml:space="preserve"> year you are forecastings Total Run.</t>
        </r>
      </text>
    </comment>
    <comment ref="K48" authorId="0">
      <text>
        <r>
          <rPr>
            <b/>
            <sz val="12"/>
            <color indexed="81"/>
            <rFont val="Tahoma"/>
            <family val="2"/>
          </rPr>
          <t>Steve Moffitt:</t>
        </r>
        <r>
          <rPr>
            <sz val="8"/>
            <color indexed="81"/>
            <rFont val="Tahoma"/>
            <family val="2"/>
          </rPr>
          <t xml:space="preserve">
</t>
        </r>
        <r>
          <rPr>
            <sz val="12"/>
            <color indexed="81"/>
            <rFont val="Tahoma"/>
            <family val="2"/>
          </rPr>
          <t>Use this to calcaulate the commerical harvest 80% CI. 
Total commercial harvest estimate plus/minus t(n-1,0.2)*mean harvest forecast error
See Fried and Yuen 1989 for details.</t>
        </r>
      </text>
    </comment>
    <comment ref="L48" authorId="0">
      <text>
        <r>
          <rPr>
            <b/>
            <sz val="12"/>
            <color indexed="81"/>
            <rFont val="Tahoma"/>
            <family val="2"/>
          </rPr>
          <t>Steve Moffitt:</t>
        </r>
        <r>
          <rPr>
            <sz val="12"/>
            <color indexed="81"/>
            <rFont val="Tahoma"/>
            <family val="2"/>
          </rPr>
          <t xml:space="preserve">
80% CI as a percentage of the commercial harvest forecast.  Make sure this formula gets updated to the year you are tying to </t>
        </r>
        <r>
          <rPr>
            <sz val="12"/>
            <color indexed="10"/>
            <rFont val="Tahoma"/>
            <family val="2"/>
          </rPr>
          <t>forecast commerical harvest</t>
        </r>
        <r>
          <rPr>
            <sz val="12"/>
            <color indexed="81"/>
            <rFont val="Tahoma"/>
            <family val="2"/>
          </rPr>
          <t>.</t>
        </r>
      </text>
    </comment>
    <comment ref="E63" authorId="2">
      <text>
        <r>
          <rPr>
            <b/>
            <sz val="12"/>
            <color indexed="81"/>
            <rFont val="Tahoma"/>
            <family val="2"/>
          </rPr>
          <t>Moffitt, Steve D (DFG):</t>
        </r>
        <r>
          <rPr>
            <sz val="12"/>
            <color indexed="81"/>
            <rFont val="Tahoma"/>
            <family val="2"/>
          </rPr>
          <t xml:space="preserve">
Calculate as forecast minus actual
</t>
        </r>
      </text>
    </comment>
    <comment ref="F63" authorId="2">
      <text>
        <r>
          <rPr>
            <b/>
            <sz val="12"/>
            <color indexed="81"/>
            <rFont val="Tahoma"/>
            <family val="2"/>
          </rPr>
          <t>Moffitt, Steve D (DFG):</t>
        </r>
        <r>
          <rPr>
            <sz val="8"/>
            <color indexed="81"/>
            <rFont val="Tahoma"/>
            <family val="2"/>
          </rPr>
          <t xml:space="preserve">
</t>
        </r>
        <r>
          <rPr>
            <sz val="16"/>
            <color indexed="81"/>
            <rFont val="Tahoma"/>
            <family val="2"/>
          </rPr>
          <t>Calculate as (forecast - actual)/actual</t>
        </r>
      </text>
    </comment>
    <comment ref="E107" authorId="2">
      <text>
        <r>
          <rPr>
            <b/>
            <sz val="12"/>
            <color indexed="81"/>
            <rFont val="Tahoma"/>
            <family val="2"/>
          </rPr>
          <t>Moffitt, Steve D (DFG):</t>
        </r>
        <r>
          <rPr>
            <sz val="12"/>
            <color indexed="81"/>
            <rFont val="Tahoma"/>
            <family val="2"/>
          </rPr>
          <t xml:space="preserve">
Calculate as forecast minus actual
</t>
        </r>
      </text>
    </comment>
    <comment ref="F107" authorId="2">
      <text>
        <r>
          <rPr>
            <b/>
            <sz val="12"/>
            <color indexed="81"/>
            <rFont val="Tahoma"/>
            <family val="2"/>
          </rPr>
          <t>Moffitt, Steve D (DFG):</t>
        </r>
        <r>
          <rPr>
            <sz val="8"/>
            <color indexed="81"/>
            <rFont val="Tahoma"/>
            <family val="2"/>
          </rPr>
          <t xml:space="preserve">
</t>
        </r>
        <r>
          <rPr>
            <sz val="16"/>
            <color indexed="81"/>
            <rFont val="Tahoma"/>
            <family val="2"/>
          </rPr>
          <t>Calculate as (forecast - actual)/actual</t>
        </r>
      </text>
    </comment>
  </commentList>
</comments>
</file>

<file path=xl/comments5.xml><?xml version="1.0" encoding="utf-8"?>
<comments xmlns="http://schemas.openxmlformats.org/spreadsheetml/2006/main">
  <authors>
    <author>Moffitt, Steve D (DFG)</author>
  </authors>
  <commentList>
    <comment ref="B64" authorId="0">
      <text>
        <r>
          <rPr>
            <b/>
            <sz val="8"/>
            <color indexed="81"/>
            <rFont val="Tahoma"/>
            <family val="2"/>
          </rPr>
          <t>Moffitt, Steve D (DFG):</t>
        </r>
        <r>
          <rPr>
            <sz val="8"/>
            <color indexed="81"/>
            <rFont val="Tahoma"/>
            <family val="2"/>
          </rPr>
          <t xml:space="preserve">
</t>
        </r>
        <r>
          <rPr>
            <sz val="16"/>
            <color indexed="81"/>
            <rFont val="Tahoma"/>
            <family val="2"/>
          </rPr>
          <t xml:space="preserve">These formulas will update the average for the last 2, 5, 10, 20, 25 or whatever number of years you enter in the column under Average.  It should also update automatically if you add another year by inserting a row under the last or inserting a range of cells under the last year above. </t>
        </r>
      </text>
    </comment>
  </commentList>
</comments>
</file>

<file path=xl/comments6.xml><?xml version="1.0" encoding="utf-8"?>
<comments xmlns="http://schemas.openxmlformats.org/spreadsheetml/2006/main">
  <authors>
    <author>John Wilcock</author>
    <author>Steve Moffitt</author>
  </authors>
  <commentList>
    <comment ref="F28" authorId="0">
      <text>
        <r>
          <rPr>
            <b/>
            <sz val="8"/>
            <color indexed="81"/>
            <rFont val="Tahoma"/>
            <family val="2"/>
          </rPr>
          <t>John Wilcock:</t>
        </r>
        <r>
          <rPr>
            <sz val="8"/>
            <color indexed="81"/>
            <rFont val="Tahoma"/>
            <family val="2"/>
          </rPr>
          <t xml:space="preserve">
</t>
        </r>
        <r>
          <rPr>
            <sz val="12"/>
            <color indexed="81"/>
            <rFont val="Tahoma"/>
            <family val="2"/>
          </rPr>
          <t>Excludes Hatchery broodstock and excess escapements</t>
        </r>
        <r>
          <rPr>
            <sz val="8"/>
            <color indexed="81"/>
            <rFont val="Tahoma"/>
            <family val="2"/>
          </rPr>
          <t xml:space="preserve">
</t>
        </r>
      </text>
    </comment>
    <comment ref="I28" authorId="0">
      <text>
        <r>
          <rPr>
            <b/>
            <sz val="8"/>
            <color indexed="81"/>
            <rFont val="Tahoma"/>
            <family val="2"/>
          </rPr>
          <t>John Wilcock:</t>
        </r>
        <r>
          <rPr>
            <sz val="8"/>
            <color indexed="81"/>
            <rFont val="Tahoma"/>
            <family val="2"/>
          </rPr>
          <t xml:space="preserve">
</t>
        </r>
        <r>
          <rPr>
            <sz val="12"/>
            <color indexed="81"/>
            <rFont val="Tahoma"/>
            <family val="2"/>
          </rPr>
          <t>Excludes Hatchery broodstock and excess escapements</t>
        </r>
        <r>
          <rPr>
            <sz val="8"/>
            <color indexed="81"/>
            <rFont val="Tahoma"/>
            <family val="2"/>
          </rPr>
          <t xml:space="preserve">
</t>
        </r>
      </text>
    </comment>
    <comment ref="I42" authorId="1">
      <text>
        <r>
          <rPr>
            <b/>
            <sz val="8"/>
            <color indexed="81"/>
            <rFont val="Tahoma"/>
            <family val="2"/>
          </rPr>
          <t>Steve Moffitt:</t>
        </r>
        <r>
          <rPr>
            <sz val="8"/>
            <color indexed="81"/>
            <rFont val="Tahoma"/>
            <family val="2"/>
          </rPr>
          <t xml:space="preserve">
Subtraction of commercial catch and SUPU contributions starts here.</t>
        </r>
      </text>
    </comment>
    <comment ref="F43" authorId="1">
      <text>
        <r>
          <rPr>
            <b/>
            <sz val="8"/>
            <color indexed="81"/>
            <rFont val="Tahoma"/>
            <family val="2"/>
          </rPr>
          <t>Steve Moffitt:</t>
        </r>
        <r>
          <rPr>
            <sz val="8"/>
            <color indexed="81"/>
            <rFont val="Tahoma"/>
            <family val="2"/>
          </rPr>
          <t xml:space="preserve">
Subtraction of commercial catch and SUPU contributions starts here.</t>
        </r>
      </text>
    </comment>
  </commentList>
</comments>
</file>

<file path=xl/comments7.xml><?xml version="1.0" encoding="utf-8"?>
<comments xmlns="http://schemas.openxmlformats.org/spreadsheetml/2006/main">
  <authors>
    <author>Steve Moffitt</author>
    <author>rebrenner</author>
  </authors>
  <commentList>
    <comment ref="Y9" authorId="0">
      <text>
        <r>
          <rPr>
            <b/>
            <sz val="11"/>
            <color indexed="81"/>
            <rFont val="Tahoma"/>
            <family val="2"/>
          </rPr>
          <t>Steve Moffitt:</t>
        </r>
        <r>
          <rPr>
            <sz val="11"/>
            <color indexed="81"/>
            <rFont val="Tahoma"/>
            <family val="2"/>
          </rPr>
          <t xml:space="preserve">
Added 12/3/2002</t>
        </r>
      </text>
    </comment>
    <comment ref="N11" authorId="0">
      <text>
        <r>
          <rPr>
            <b/>
            <sz val="8"/>
            <color indexed="81"/>
            <rFont val="Tahoma"/>
            <family val="2"/>
          </rPr>
          <t>Steve Moffitt:</t>
        </r>
        <r>
          <rPr>
            <sz val="8"/>
            <color indexed="81"/>
            <rFont val="Tahoma"/>
            <family val="2"/>
          </rPr>
          <t xml:space="preserve">
Regression residuals,
Actual - predicted</t>
        </r>
      </text>
    </comment>
    <comment ref="X11" authorId="0">
      <text>
        <r>
          <rPr>
            <b/>
            <sz val="10"/>
            <color indexed="81"/>
            <rFont val="Tahoma"/>
            <family val="2"/>
          </rPr>
          <t>Steve Moffitt:</t>
        </r>
        <r>
          <rPr>
            <sz val="10"/>
            <color indexed="81"/>
            <rFont val="Tahoma"/>
            <family val="2"/>
          </rPr>
          <t xml:space="preserve">
</t>
        </r>
        <r>
          <rPr>
            <sz val="16"/>
            <color indexed="81"/>
            <rFont val="Tahoma"/>
            <family val="2"/>
          </rPr>
          <t>Percentage error = (forecast - observed )/observed</t>
        </r>
      </text>
    </comment>
    <comment ref="Y63" authorId="1">
      <text>
        <r>
          <rPr>
            <b/>
            <sz val="20"/>
            <color indexed="81"/>
            <rFont val="Tahoma"/>
            <family val="2"/>
          </rPr>
          <t>rebrenner:</t>
        </r>
        <r>
          <rPr>
            <sz val="20"/>
            <color indexed="81"/>
            <rFont val="Tahoma"/>
            <family val="2"/>
          </rPr>
          <t xml:space="preserve">
STOP!  Discrepancies need to be worked out between the Percent Error calculations (and the Abs % error)  in this workbook vs. those in the Coghill Wild Sockeye workbook.
Other forecast workbooks may need to be checked as well (e.g. Eshamy &amp; Coghill sockeye, etc.)
-rich 1/14/2008
This sheet calculates as estimate - observed/observed</t>
        </r>
      </text>
    </comment>
  </commentList>
</comments>
</file>

<file path=xl/comments8.xml><?xml version="1.0" encoding="utf-8"?>
<comments xmlns="http://schemas.openxmlformats.org/spreadsheetml/2006/main">
  <authors>
    <author>Steve Moffitt</author>
  </authors>
  <commentList>
    <comment ref="Y9" authorId="0">
      <text>
        <r>
          <rPr>
            <b/>
            <sz val="8"/>
            <color indexed="81"/>
            <rFont val="Tahoma"/>
            <family val="2"/>
          </rPr>
          <t>Steve Moffitt:</t>
        </r>
        <r>
          <rPr>
            <sz val="8"/>
            <color indexed="81"/>
            <rFont val="Tahoma"/>
            <family val="2"/>
          </rPr>
          <t xml:space="preserve">
Added 12/3/2002</t>
        </r>
      </text>
    </comment>
  </commentList>
</comments>
</file>

<file path=xl/comments9.xml><?xml version="1.0" encoding="utf-8"?>
<comments xmlns="http://schemas.openxmlformats.org/spreadsheetml/2006/main">
  <authors>
    <author>Steve Moffitt</author>
  </authors>
  <commentList>
    <comment ref="Y9" authorId="0">
      <text>
        <r>
          <rPr>
            <sz val="8"/>
            <color indexed="81"/>
            <rFont val="Tahoma"/>
            <family val="2"/>
          </rPr>
          <t>Steve Moffitt:
Added 12/3/2002</t>
        </r>
      </text>
    </comment>
  </commentList>
</comments>
</file>

<file path=xl/comments10.xml><?xml version="1.0" encoding="utf-8"?>
<comments xmlns="http://schemas.openxmlformats.org/spreadsheetml/2006/main">
  <authors>
    <author>Steve Moffitt</author>
  </authors>
  <commentList>
    <comment ref="T9" authorId="0">
      <text>
        <r>
          <rPr>
            <sz val="8"/>
            <color indexed="81"/>
            <rFont val="Tahoma"/>
            <family val="2"/>
          </rPr>
          <t>Steve Moffitt:
Added 12/3/2002</t>
        </r>
      </text>
    </comment>
  </commentList>
</comments>
</file>

<file path=xl/comments11.xml><?xml version="1.0" encoding="utf-8"?>
<comments xmlns="http://schemas.openxmlformats.org/spreadsheetml/2006/main">
  <authors>
    <author>Steve Moffitt</author>
  </authors>
  <commentList>
    <comment ref="Y9" authorId="0">
      <text>
        <r>
          <rPr>
            <sz val="8"/>
            <color indexed="81"/>
            <rFont val="Tahoma"/>
            <family val="2"/>
          </rPr>
          <t>Steve Moffitt:
Added 12/3/2002</t>
        </r>
      </text>
    </comment>
  </commentList>
</comments>
</file>

<file path=xl/comments12.xml><?xml version="1.0" encoding="utf-8"?>
<comments xmlns="http://schemas.openxmlformats.org/spreadsheetml/2006/main">
  <authors>
    <author>Steve Moffitt</author>
  </authors>
  <commentList>
    <comment ref="Y9" authorId="0">
      <text>
        <r>
          <rPr>
            <sz val="8"/>
            <color indexed="81"/>
            <rFont val="Tahoma"/>
            <family val="2"/>
          </rPr>
          <t>Steve Moffitt:
Added 12/3/2002</t>
        </r>
      </text>
    </comment>
  </commentList>
</comments>
</file>

<file path=xl/comments13.xml><?xml version="1.0" encoding="utf-8"?>
<comments xmlns="http://schemas.openxmlformats.org/spreadsheetml/2006/main">
  <authors>
    <author>Steve Moffitt</author>
  </authors>
  <commentList>
    <comment ref="T9" authorId="0">
      <text>
        <r>
          <rPr>
            <sz val="8"/>
            <color indexed="81"/>
            <rFont val="Tahoma"/>
            <family val="2"/>
          </rPr>
          <t>Steve Moffitt:
Added 12/3/2002</t>
        </r>
      </text>
    </comment>
  </commentList>
</comments>
</file>

<file path=xl/comments14.xml><?xml version="1.0" encoding="utf-8"?>
<comments xmlns="http://schemas.openxmlformats.org/spreadsheetml/2006/main">
  <authors>
    <author>Steve Moffitt</author>
  </authors>
  <commentList>
    <comment ref="Y9" authorId="0">
      <text>
        <r>
          <rPr>
            <sz val="8"/>
            <color indexed="81"/>
            <rFont val="Tahoma"/>
            <family val="2"/>
          </rPr>
          <t>Steve Moffitt:
Added 12/3/2002</t>
        </r>
      </text>
    </comment>
  </commentList>
</comments>
</file>

<file path=xl/comments15.xml><?xml version="1.0" encoding="utf-8"?>
<comments xmlns="http://schemas.openxmlformats.org/spreadsheetml/2006/main">
  <authors>
    <author>Steve Moffitt</author>
  </authors>
  <commentList>
    <comment ref="Y9" authorId="0">
      <text>
        <r>
          <rPr>
            <sz val="8"/>
            <color indexed="81"/>
            <rFont val="Tahoma"/>
            <family val="2"/>
          </rPr>
          <t>Steve Moffitt:
Added 12/3/2002</t>
        </r>
      </text>
    </comment>
  </commentList>
</comments>
</file>

<file path=xl/comments16.xml><?xml version="1.0" encoding="utf-8"?>
<comments xmlns="http://schemas.openxmlformats.org/spreadsheetml/2006/main">
  <authors>
    <author>Steve Moffitt</author>
  </authors>
  <commentList>
    <comment ref="Y9" authorId="0">
      <text>
        <r>
          <rPr>
            <sz val="8"/>
            <color indexed="81"/>
            <rFont val="Tahoma"/>
            <family val="2"/>
          </rPr>
          <t>Steve Moffitt:
Added 12/3/2002</t>
        </r>
      </text>
    </comment>
  </commentList>
</comments>
</file>

<file path=xl/comments17.xml><?xml version="1.0" encoding="utf-8"?>
<comments xmlns="http://schemas.openxmlformats.org/spreadsheetml/2006/main">
  <authors>
    <author>Steve Moffitt</author>
  </authors>
  <commentList>
    <comment ref="Y9" authorId="0">
      <text>
        <r>
          <rPr>
            <sz val="8"/>
            <color indexed="81"/>
            <rFont val="Tahoma"/>
            <family val="2"/>
          </rPr>
          <t>Steve Moffitt:
Added 12/3/2002</t>
        </r>
      </text>
    </comment>
  </commentList>
</comments>
</file>

<file path=xl/sharedStrings.xml><?xml version="1.0" encoding="utf-8"?>
<sst xmlns="http://schemas.openxmlformats.org/spreadsheetml/2006/main" count="2201" uniqueCount="628">
  <si>
    <t>File:</t>
  </si>
  <si>
    <t>This file is used to jacknife selected forecast models through the data from the Brood Table</t>
  </si>
  <si>
    <t>and calculate the 80% CI around the forecast based on the jackknifed</t>
  </si>
  <si>
    <t>accuracy of the present year model in predicting returns for prior years.</t>
  </si>
  <si>
    <t>as of</t>
  </si>
  <si>
    <t>Color code:</t>
  </si>
  <si>
    <t>Blue</t>
  </si>
  <si>
    <t>Value</t>
  </si>
  <si>
    <t>Black</t>
  </si>
  <si>
    <t>Green</t>
  </si>
  <si>
    <t>Formula, references other sheet(s) in same file</t>
  </si>
  <si>
    <t>Yellow Bgd</t>
  </si>
  <si>
    <t>Model or option selected for use (lowest % Error)</t>
  </si>
  <si>
    <t>Magenta</t>
  </si>
  <si>
    <t>Cautionary flag.  Values need review and may not necessarily be the best choice, but are the current "Best Choice".</t>
  </si>
  <si>
    <t>Red</t>
  </si>
  <si>
    <t>Caution, etc.  Entry needs futher scrutiny.</t>
  </si>
  <si>
    <t>Copper River Sockeye</t>
  </si>
  <si>
    <t>Forecast Methods  - in short</t>
  </si>
  <si>
    <t>HATCHERY:</t>
  </si>
  <si>
    <t>TOTAL RUN</t>
  </si>
  <si>
    <t>First Title</t>
  </si>
  <si>
    <t>NATURAL PRODUCTION:  Summary of all Leaving-1-Out procedures</t>
  </si>
  <si>
    <t>Brood</t>
  </si>
  <si>
    <t>Point</t>
  </si>
  <si>
    <t>Confidence Bounds</t>
  </si>
  <si>
    <t>Avg</t>
  </si>
  <si>
    <t>Year</t>
  </si>
  <si>
    <t xml:space="preserve">Age </t>
  </si>
  <si>
    <t>Return</t>
  </si>
  <si>
    <t>Low</t>
  </si>
  <si>
    <t>High</t>
  </si>
  <si>
    <t>Estimate</t>
  </si>
  <si>
    <t xml:space="preserve"> Comments or Data Source</t>
  </si>
  <si>
    <t xml:space="preserve">  IT may be possible to break these individual estimates</t>
  </si>
  <si>
    <t>ln03 x ln11</t>
  </si>
  <si>
    <t xml:space="preserve">  into Delta and Upriver as per the section below, but</t>
  </si>
  <si>
    <t>ln03 x ln02</t>
  </si>
  <si>
    <t>ln12rps x BYE</t>
  </si>
  <si>
    <t>ln12 x ln11</t>
  </si>
  <si>
    <t xml:space="preserve">     1)  the 2 methods differ by only about 30,000 fish,</t>
  </si>
  <si>
    <t>ln13rps x BYE</t>
  </si>
  <si>
    <t xml:space="preserve">     2)  breaking each method by Delta/Upriver may exceed</t>
  </si>
  <si>
    <t>ln13 x ln12</t>
  </si>
  <si>
    <t xml:space="preserve">          the point of diminishing returns,</t>
  </si>
  <si>
    <t>ln13 x ln03</t>
  </si>
  <si>
    <t>ln22 x ln12</t>
  </si>
  <si>
    <t>ln23 x ln22</t>
  </si>
  <si>
    <t>ln23 x ln13</t>
  </si>
  <si>
    <t>Return as Age 5:</t>
  </si>
  <si>
    <t>Return as Age 4:</t>
  </si>
  <si>
    <t xml:space="preserve">   (Revise eventually using observed returns at age from CWT.)</t>
  </si>
  <si>
    <t>socktab.wk4 : Hatchery Prodn</t>
  </si>
  <si>
    <t>Summit Lake</t>
  </si>
  <si>
    <t>Crosswind Lake</t>
  </si>
  <si>
    <t xml:space="preserve">Survival </t>
  </si>
  <si>
    <t xml:space="preserve">Release </t>
  </si>
  <si>
    <t>Paxson Lake - Gulkana I</t>
  </si>
  <si>
    <t xml:space="preserve">  release * survival = adult  returns</t>
  </si>
  <si>
    <t>Paxson Lake - Gulkana II</t>
  </si>
  <si>
    <t xml:space="preserve">        Total Brood Year Return</t>
  </si>
  <si>
    <t xml:space="preserve">  sum</t>
  </si>
  <si>
    <t xml:space="preserve">        Expected Return at Age 5</t>
  </si>
  <si>
    <t xml:space="preserve">  sum * avg maturity schedule</t>
  </si>
  <si>
    <t xml:space="preserve">        Expected Return at Age 4</t>
  </si>
  <si>
    <t>Expected Hatchery Return (Age 4 + Age 5):</t>
  </si>
  <si>
    <t xml:space="preserve">  [Exp Hatchery Rtn +/- (80% of Mean Error for total run)]</t>
  </si>
  <si>
    <t>PROJECTED TOTAL RUN AND HARVEST:</t>
  </si>
  <si>
    <t>Total Run</t>
  </si>
  <si>
    <t>Delta:</t>
  </si>
  <si>
    <t>Upriver:</t>
  </si>
  <si>
    <t>TOTAL:</t>
  </si>
  <si>
    <t xml:space="preserve">  [Exp Total Run +/- (Mean Error of Total Run) * t_n-1, 0.2]</t>
  </si>
  <si>
    <t>"Actual" Escapement Goals</t>
  </si>
  <si>
    <t>Projected Hatchery Use</t>
  </si>
  <si>
    <t xml:space="preserve">   Average proportion of Total Harvest taken as Commercial Hvst</t>
  </si>
  <si>
    <t xml:space="preserve">   ExplRate * Total Hatch Prodn</t>
  </si>
  <si>
    <t xml:space="preserve">   Hatchry Hvst * Avg Comm Prop of Tot Hvst</t>
  </si>
  <si>
    <t xml:space="preserve">     Total minus Commercial</t>
  </si>
  <si>
    <t>Projected Hatchery Return Not Catch (broodstock + excess + cost recovery)</t>
  </si>
  <si>
    <t xml:space="preserve">  Difference, Total Hatch Prodn minus Proj Hvst</t>
  </si>
  <si>
    <t xml:space="preserve">     Sport Harvest</t>
  </si>
  <si>
    <t xml:space="preserve">  Mgt Plan</t>
  </si>
  <si>
    <t xml:space="preserve">     Hatchery Excess, Cost Recovery, and Stream Escapement.</t>
  </si>
  <si>
    <t>Total Desired Sonar Count</t>
  </si>
  <si>
    <t xml:space="preserve">  Total Projected Copper River Sockeye Harvest</t>
  </si>
  <si>
    <t xml:space="preserve">   Hatchery Produced Harvest plus Naturally Produced Harvest</t>
  </si>
  <si>
    <t>Total Projected Commercial Harvest</t>
  </si>
  <si>
    <t xml:space="preserve">   Total Hvst - Subs/PU InRiver Reservation</t>
  </si>
  <si>
    <t xml:space="preserve"> comm = Avg%Comm x Total</t>
  </si>
  <si>
    <t xml:space="preserve"> Su/PU = Total - Comm  </t>
  </si>
  <si>
    <t>NATURAL PRODUCTION:</t>
  </si>
  <si>
    <t>Natrual Run</t>
  </si>
  <si>
    <t>Escapement Goal</t>
  </si>
  <si>
    <t>Common Property Harvest</t>
  </si>
  <si>
    <t>HATCHERY AND SUPPLEMENTAL PRODUCTION:</t>
  </si>
  <si>
    <t>Hatchery Run</t>
  </si>
  <si>
    <t>TOTAL PRODUCTION:</t>
  </si>
  <si>
    <t>Run Estimate</t>
  </si>
  <si>
    <t>Natural Escapement Goal</t>
  </si>
  <si>
    <t>Filename:</t>
  </si>
  <si>
    <t>t-values</t>
  </si>
  <si>
    <t>alpha</t>
  </si>
  <si>
    <t>n-1 =</t>
  </si>
  <si>
    <t>n</t>
  </si>
  <si>
    <t>t_n-1,0.2 =</t>
  </si>
  <si>
    <t>Commercial Harvest</t>
  </si>
  <si>
    <t>Difference</t>
  </si>
  <si>
    <t>Squared</t>
  </si>
  <si>
    <t>Percent</t>
  </si>
  <si>
    <t>Species</t>
  </si>
  <si>
    <t>Forecast</t>
  </si>
  <si>
    <t>Actual</t>
  </si>
  <si>
    <t>Positive</t>
  </si>
  <si>
    <t>Negative</t>
  </si>
  <si>
    <t>Error</t>
  </si>
  <si>
    <t>Sockeye</t>
  </si>
  <si>
    <t>Total Error</t>
  </si>
  <si>
    <t>Mean Error</t>
  </si>
  <si>
    <t>80% of Mean Error</t>
  </si>
  <si>
    <t>1/2 Width</t>
  </si>
  <si>
    <t>80% C. I.</t>
  </si>
  <si>
    <t>Age (2)</t>
  </si>
  <si>
    <t xml:space="preserve"> Age (3)</t>
  </si>
  <si>
    <t xml:space="preserve"> Age  (4)</t>
  </si>
  <si>
    <t xml:space="preserve"> Age  (5)</t>
  </si>
  <si>
    <t>Age  (6)</t>
  </si>
  <si>
    <t>Age (7)</t>
  </si>
  <si>
    <t>Total</t>
  </si>
  <si>
    <t>Spawners</t>
  </si>
  <si>
    <t>(originally based on Coghill Weir brood tables, Adapted for Copper R data from CATBYAGE.wk4, jw 11/96)</t>
  </si>
  <si>
    <t>Brood Yr</t>
  </si>
  <si>
    <t>Escapement</t>
  </si>
  <si>
    <t>Ln BYr</t>
  </si>
  <si>
    <t>Aged 1.1</t>
  </si>
  <si>
    <t>Aged 0.3</t>
  </si>
  <si>
    <t>Aged 1.2</t>
  </si>
  <si>
    <t>Aged 1.3</t>
  </si>
  <si>
    <t>Aged 2.2</t>
  </si>
  <si>
    <t>Aged 2.3</t>
  </si>
  <si>
    <t>in  BYr</t>
  </si>
  <si>
    <t>Escpmt.</t>
  </si>
  <si>
    <t>R</t>
  </si>
  <si>
    <t>ln(R)</t>
  </si>
  <si>
    <t>ln(R/S)</t>
  </si>
  <si>
    <t xml:space="preserve">   ^ This column is derived from CATBYAGE,</t>
  </si>
  <si>
    <t>Average</t>
  </si>
  <si>
    <t>and is based on the Old Roberson Forecast</t>
  </si>
  <si>
    <t>method of R/S * Eff PYE</t>
  </si>
  <si>
    <t>std</t>
  </si>
  <si>
    <t>t_n-1,0.2</t>
  </si>
  <si>
    <t xml:space="preserve"> </t>
  </si>
  <si>
    <t>Constant</t>
  </si>
  <si>
    <t>Model = Predict log returns per spawner aged 1.2 (ln(R_x001E_d1.2_x001F_/S) from brood year escapement (S)</t>
  </si>
  <si>
    <t>X =</t>
  </si>
  <si>
    <t>Y=</t>
  </si>
  <si>
    <t>Graphics Section</t>
  </si>
  <si>
    <t xml:space="preserve">        Variables</t>
  </si>
  <si>
    <t xml:space="preserve">          Regression Data</t>
  </si>
  <si>
    <t xml:space="preserve">       Confidence Intervals (transformed if applicable)</t>
  </si>
  <si>
    <t xml:space="preserve">         Confidence Intervals (in numbers of fish)</t>
  </si>
  <si>
    <t>X</t>
  </si>
  <si>
    <t>(A)</t>
  </si>
  <si>
    <t>(B)</t>
  </si>
  <si>
    <t>Labels(B)</t>
  </si>
  <si>
    <t>Independent</t>
  </si>
  <si>
    <t>Dependent</t>
  </si>
  <si>
    <t>Std Err</t>
  </si>
  <si>
    <t>Y est</t>
  </si>
  <si>
    <t>Leave 1 out</t>
  </si>
  <si>
    <t>Lower</t>
  </si>
  <si>
    <t>Upper</t>
  </si>
  <si>
    <t>Predicted</t>
  </si>
  <si>
    <t>(C)</t>
  </si>
  <si>
    <t>(D)</t>
  </si>
  <si>
    <t>N</t>
  </si>
  <si>
    <t>d.f.</t>
  </si>
  <si>
    <t>Coef. X</t>
  </si>
  <si>
    <t>"Error"</t>
  </si>
  <si>
    <t>Y</t>
  </si>
  <si>
    <t>R_x001E_u2_x001F_     =</t>
  </si>
  <si>
    <t>SLOPE =</t>
  </si>
  <si>
    <t>Avg Error  =</t>
  </si>
  <si>
    <t>leave 1 out</t>
  </si>
  <si>
    <t>d.f. =</t>
  </si>
  <si>
    <t>M.S.E. Leave 1 out =</t>
  </si>
  <si>
    <t>t=</t>
  </si>
  <si>
    <t>regression</t>
  </si>
  <si>
    <t>M.S.E. ALL =</t>
  </si>
  <si>
    <t>M.S.E. =</t>
  </si>
  <si>
    <t>Avg Err=</t>
  </si>
  <si>
    <t xml:space="preserve">     </t>
  </si>
  <si>
    <t>Brood Year Escapement</t>
  </si>
  <si>
    <t>Brood Yr.</t>
  </si>
  <si>
    <t>Pct Errof Obs-Avg</t>
  </si>
  <si>
    <t>Pct Error of LN(Obs-Avg)</t>
  </si>
  <si>
    <t>Model = Predict log returns aged 1.2 (ln(R_x001E_d1.2_x001F_)) from log returns aged 1.1 (ln(R_x001E_d1.1_x001F_)).</t>
  </si>
  <si>
    <t>ln (1.1)</t>
  </si>
  <si>
    <t>ln (1.2)</t>
  </si>
  <si>
    <t>68-70 excluded</t>
  </si>
  <si>
    <t>LN 1.1</t>
  </si>
  <si>
    <t xml:space="preserve">   as outliers</t>
  </si>
  <si>
    <t xml:space="preserve">    SLOPE   =</t>
  </si>
  <si>
    <t>S</t>
  </si>
  <si>
    <t>ln(R_x001E_d1.3/S)</t>
  </si>
  <si>
    <t>Average:</t>
  </si>
  <si>
    <t>Model = Predict log returns aged 1.3 (ln(R_x001E_d1.3_x001F_)) from log returns aged 1.2 (ln(R_x001E_d1.2_x001F_)).</t>
  </si>
  <si>
    <t>ln (1.3)</t>
  </si>
  <si>
    <t>1.2 (untransformed)</t>
  </si>
  <si>
    <t>1.3 (untransformed)</t>
  </si>
  <si>
    <t>ln (0.3)</t>
  </si>
  <si>
    <t>Avg Error =</t>
  </si>
  <si>
    <t>Model = Predict log returns aged 2.2 (ln(R_x001E_d2.2_x001F_) from log brood year escapement ln(BYE)</t>
  </si>
  <si>
    <t>ln (BYE)</t>
  </si>
  <si>
    <t>ln (2.2)</t>
  </si>
  <si>
    <t>Model = Predict log returns aged 2.2 (ln(R_x001E_d2.2_x001F_)) from log returns aged 1.2 (ln(R_x001E_d1.2_x001F_)).</t>
  </si>
  <si>
    <t>Model = Predict log returns aged 2.3 (ln(R_x001E_d2.3_x001F_)) from log returns aged 2.2 (ln(R_x001E_d2.2_x001F_)).</t>
  </si>
  <si>
    <t>ln (2.3)</t>
  </si>
  <si>
    <t>Avg:</t>
  </si>
  <si>
    <t>Model = Predict log returns aged 0.3 (ln(R0.3)) from log return brood year siblings aged 0.2.</t>
  </si>
  <si>
    <t>ln (0.2)</t>
  </si>
  <si>
    <t>OUTLIERS Deleted</t>
  </si>
  <si>
    <t>Note:  the above relationship was arbitrarily trimmed of zero and near-zero X's (0.2 returns).</t>
  </si>
  <si>
    <t>Table of t values (two tailed)</t>
  </si>
  <si>
    <t>0.1</t>
  </si>
  <si>
    <t>0.2</t>
  </si>
  <si>
    <t>1.1</t>
  </si>
  <si>
    <t>0.3</t>
  </si>
  <si>
    <t>1.2</t>
  </si>
  <si>
    <t>2.1</t>
  </si>
  <si>
    <t>0.4</t>
  </si>
  <si>
    <t>1.3</t>
  </si>
  <si>
    <t>2.2</t>
  </si>
  <si>
    <t>1.4</t>
  </si>
  <si>
    <t>2.3</t>
  </si>
  <si>
    <t>3.2</t>
  </si>
  <si>
    <t>1.5</t>
  </si>
  <si>
    <t>2.4</t>
  </si>
  <si>
    <t>3.3</t>
  </si>
  <si>
    <r>
      <t>Y</t>
    </r>
    <r>
      <rPr>
        <vertAlign val="subscript"/>
        <sz val="10"/>
        <rFont val="DUTCH"/>
      </rPr>
      <t>e</t>
    </r>
  </si>
  <si>
    <r>
      <t>Y</t>
    </r>
    <r>
      <rPr>
        <vertAlign val="subscript"/>
        <sz val="10"/>
        <rFont val="DUTCH"/>
      </rPr>
      <t>o</t>
    </r>
  </si>
  <si>
    <r>
      <t>R</t>
    </r>
    <r>
      <rPr>
        <vertAlign val="superscript"/>
        <sz val="10"/>
        <rFont val="DUTCH"/>
      </rPr>
      <t>2</t>
    </r>
  </si>
  <si>
    <r>
      <t>Y</t>
    </r>
    <r>
      <rPr>
        <vertAlign val="subscript"/>
        <sz val="10"/>
        <rFont val="DUTCH"/>
      </rPr>
      <t>o</t>
    </r>
    <r>
      <rPr>
        <sz val="10"/>
        <rFont val="DUTCH"/>
        <family val="1"/>
      </rPr>
      <t>-Y</t>
    </r>
    <r>
      <rPr>
        <vertAlign val="subscript"/>
        <sz val="10"/>
        <rFont val="DUTCH"/>
      </rPr>
      <t>e</t>
    </r>
  </si>
  <si>
    <r>
      <t>E</t>
    </r>
    <r>
      <rPr>
        <vertAlign val="superscript"/>
        <sz val="10"/>
        <rFont val="DUTCH"/>
      </rPr>
      <t>2</t>
    </r>
    <r>
      <rPr>
        <sz val="10"/>
        <rFont val="DUTCH"/>
        <family val="1"/>
      </rPr>
      <t>=(Y</t>
    </r>
    <r>
      <rPr>
        <vertAlign val="subscript"/>
        <sz val="10"/>
        <rFont val="DUTCH"/>
      </rPr>
      <t>a</t>
    </r>
    <r>
      <rPr>
        <sz val="10"/>
        <rFont val="DUTCH"/>
        <family val="1"/>
      </rPr>
      <t>-Y</t>
    </r>
    <r>
      <rPr>
        <vertAlign val="subscript"/>
        <sz val="10"/>
        <rFont val="DUTCH"/>
      </rPr>
      <t>e</t>
    </r>
    <r>
      <rPr>
        <sz val="10"/>
        <rFont val="DUTCH"/>
        <family val="1"/>
      </rPr>
      <t>)</t>
    </r>
    <r>
      <rPr>
        <vertAlign val="superscript"/>
        <sz val="10"/>
        <rFont val="DUTCH"/>
      </rPr>
      <t>2</t>
    </r>
  </si>
  <si>
    <r>
      <t>Y</t>
    </r>
    <r>
      <rPr>
        <vertAlign val="subscript"/>
        <sz val="10"/>
        <rFont val="DUTCH"/>
      </rPr>
      <t>e</t>
    </r>
    <r>
      <rPr>
        <sz val="10"/>
        <rFont val="DUTCH"/>
        <family val="1"/>
      </rPr>
      <t>-Avg(E</t>
    </r>
    <r>
      <rPr>
        <vertAlign val="superscript"/>
        <sz val="10"/>
        <rFont val="DUTCH"/>
      </rPr>
      <t>2</t>
    </r>
    <r>
      <rPr>
        <sz val="10"/>
        <rFont val="DUTCH"/>
        <family val="1"/>
      </rPr>
      <t>)</t>
    </r>
  </si>
  <si>
    <r>
      <t>(Y</t>
    </r>
    <r>
      <rPr>
        <vertAlign val="subscript"/>
        <sz val="10"/>
        <rFont val="DUTCH"/>
      </rPr>
      <t>e</t>
    </r>
    <r>
      <rPr>
        <sz val="10"/>
        <rFont val="DUTCH"/>
        <family val="1"/>
      </rPr>
      <t>-Y</t>
    </r>
    <r>
      <rPr>
        <vertAlign val="subscript"/>
        <sz val="10"/>
        <rFont val="DUTCH"/>
      </rPr>
      <t>o</t>
    </r>
    <r>
      <rPr>
        <sz val="10"/>
        <rFont val="DUTCH"/>
        <family val="1"/>
      </rPr>
      <t>)/Y</t>
    </r>
    <r>
      <rPr>
        <vertAlign val="subscript"/>
        <sz val="10"/>
        <rFont val="DUTCH"/>
      </rPr>
      <t>o</t>
    </r>
  </si>
  <si>
    <t>Intercept</t>
  </si>
  <si>
    <t>CoefXSE</t>
  </si>
  <si>
    <t>CoefX</t>
  </si>
  <si>
    <t>Resid df</t>
  </si>
  <si>
    <t>YestSE</t>
  </si>
  <si>
    <r>
      <t>Y</t>
    </r>
    <r>
      <rPr>
        <vertAlign val="subscript"/>
        <sz val="10"/>
        <rFont val="DUTCH"/>
      </rPr>
      <t>est</t>
    </r>
  </si>
  <si>
    <t>ReturnAge</t>
  </si>
  <si>
    <t>Return Age</t>
  </si>
  <si>
    <t>Yellow = lowest avg % error, generally is model selected</t>
  </si>
  <si>
    <t>Formula, all cell references same sheet only</t>
  </si>
  <si>
    <t xml:space="preserve">   Allowable Natural Exploitation Rate (Assumption:  ER Nat'l Prod'n = ER UnNat'l Prod'n):</t>
  </si>
  <si>
    <t>Total Projected Non-Commercial (Subs, PU, Sport Harvest)</t>
  </si>
  <si>
    <t xml:space="preserve">   Proj. Return Not Catch minus Broodstock  </t>
  </si>
  <si>
    <t>No provision for calculating delta and UCR separately, since no longer based on R/S of AWPYE.</t>
  </si>
  <si>
    <t>Deleted all AWPYE (Roberson) methodology components.</t>
  </si>
  <si>
    <t>JackKnife</t>
  </si>
  <si>
    <t>Sharr method of crossvalidation procedure translated to VBA.</t>
  </si>
  <si>
    <t>How to:</t>
  </si>
  <si>
    <t>Copy age comp data into appropriate arrays in CatchByAge_Sock.xls and adjust formulas for catch/escapement numbers.</t>
  </si>
  <si>
    <t>Update individual fishery elements in CBRSALMN.xls and Socktab.xls.</t>
  </si>
  <si>
    <t>Copy /paste values from CatchByAge_Sock brood table to sheet BrdLink.</t>
  </si>
  <si>
    <t>Copy formulas for linking BrdTbl down one row for each age.</t>
  </si>
  <si>
    <t>Select appropriate model for each year in Fcst Sumry, and adjust totaling formulas.</t>
  </si>
  <si>
    <t>Fry to Adult</t>
  </si>
  <si>
    <t>Smolt to Adult</t>
  </si>
  <si>
    <t>SMOLT to ADULT survival from 42HAT.xls</t>
  </si>
  <si>
    <t xml:space="preserve">   Smolt outmigration * Avg survival to Age</t>
  </si>
  <si>
    <t>Crosswind &amp;Summit smolt to adult, + Paxson fry to adult</t>
  </si>
  <si>
    <t>Survival Assumptions</t>
  </si>
  <si>
    <t>Natural Run estimated from mean return at age or sibling regressions   plus   Enhanced Run estimated from survival assumptions about releases.</t>
  </si>
  <si>
    <t>To accomodate natural runs separately, enhanced returns by brood year are subtracted from ages 1.2 and 1.3 of brood table for years where CWT results are available.</t>
  </si>
  <si>
    <t>Table for Enhanced return at age in CatchByAge_Sock.xls, uses CWT results where available or assumes 17%/83% maturity schedule across years where necessary.</t>
  </si>
  <si>
    <t>Returns of OnSite Fry Releases  =  Sum across brood years of  [ (Number fry released in Brd Yr) X (1% Assumed Survival) X (Maturity Schedule) = (Return by Brood Year) ]</t>
  </si>
  <si>
    <t>Retruns of Remote Releases = Sum across brood years and sites of [ (Number of smolts past weir) X (average % return at age/brdyr at this site) ]</t>
  </si>
  <si>
    <t>Enhanced Harvest = (Enhanced Return) X (5 Yr Avg system-wide exploitation rate)</t>
  </si>
  <si>
    <t>Forecast Broodstock, Excess, and Stream Escapement = (Enhanced Return) - (Enhanced Harvest)</t>
  </si>
  <si>
    <t>Subroutine "A_InsertNewYear" adds a row to main data array and adjusts years to accommodate most recent year.</t>
  </si>
  <si>
    <t>Subroutine "B_JackKnifeRoutine" does the leaving one out procedure.</t>
  </si>
  <si>
    <t>Model</t>
  </si>
  <si>
    <t>Selected Models</t>
  </si>
  <si>
    <t>Brd Year:</t>
  </si>
  <si>
    <t>Survival</t>
  </si>
  <si>
    <t>Assumptions</t>
  </si>
  <si>
    <t>Biological Escapement Goals</t>
  </si>
  <si>
    <t xml:space="preserve">SOCKEYE: </t>
  </si>
  <si>
    <t>Avg %</t>
  </si>
  <si>
    <t>Desired Count</t>
  </si>
  <si>
    <t>SOCKEYE Only</t>
  </si>
  <si>
    <t>83-92 Avg</t>
  </si>
  <si>
    <t>93-97 Avg</t>
  </si>
  <si>
    <t>Mean</t>
  </si>
  <si>
    <t>Gulkana II</t>
  </si>
  <si>
    <t>Gulkana I</t>
  </si>
  <si>
    <t>Crosswind</t>
  </si>
  <si>
    <t>Summit</t>
  </si>
  <si>
    <t>ln22 x BYE</t>
  </si>
  <si>
    <t>13x12(untransformed)</t>
  </si>
  <si>
    <t>ENHANCED PRODUCTION</t>
  </si>
  <si>
    <t>% error</t>
  </si>
  <si>
    <r>
      <t xml:space="preserve">Copper River Sockeye TOTAL RETURN by age by BROOD year.  </t>
    </r>
    <r>
      <rPr>
        <sz val="12"/>
        <color indexed="10"/>
        <rFont val="SWISS"/>
      </rPr>
      <t>WILD STOCKS ONLY  (Approximately anyway)</t>
    </r>
  </si>
  <si>
    <t>Expected Natural Production</t>
  </si>
  <si>
    <t xml:space="preserve">   for 1999, the total return approach was used because:</t>
  </si>
  <si>
    <t xml:space="preserve">     3)  it is similar to previous methods</t>
  </si>
  <si>
    <t>Complete brood yrs</t>
  </si>
  <si>
    <t>All returns for age</t>
  </si>
  <si>
    <t xml:space="preserve">     Gulkana Broodstock</t>
  </si>
  <si>
    <t>Common Property Commercial Harvest</t>
  </si>
  <si>
    <r>
      <t>(ln(R))</t>
    </r>
    <r>
      <rPr>
        <vertAlign val="superscript"/>
        <sz val="12"/>
        <rFont val="SWISS"/>
      </rPr>
      <t>2</t>
    </r>
  </si>
  <si>
    <r>
      <t>(ln(R/S))</t>
    </r>
    <r>
      <rPr>
        <vertAlign val="superscript"/>
        <sz val="12"/>
        <rFont val="SWISS"/>
      </rPr>
      <t>2</t>
    </r>
  </si>
  <si>
    <t>00</t>
  </si>
  <si>
    <t>01</t>
  </si>
  <si>
    <r>
      <t>R</t>
    </r>
    <r>
      <rPr>
        <vertAlign val="superscript"/>
        <sz val="12"/>
        <rFont val="SWISS"/>
      </rPr>
      <t>2</t>
    </r>
    <r>
      <rPr>
        <sz val="12"/>
        <rFont val="SWISS"/>
      </rPr>
      <t xml:space="preserve">     =</t>
    </r>
  </si>
  <si>
    <t>Escape</t>
  </si>
  <si>
    <t>Model = Predict untransformed 1.3s from brood year escapement (S)</t>
  </si>
  <si>
    <t>No. 1.3s</t>
  </si>
  <si>
    <t>Age</t>
  </si>
  <si>
    <t xml:space="preserve">European </t>
  </si>
  <si>
    <t>Percentage</t>
  </si>
  <si>
    <t>02</t>
  </si>
  <si>
    <r>
      <t>Copper River Sockeye Brood Tables for wild stocks (</t>
    </r>
    <r>
      <rPr>
        <b/>
        <sz val="16"/>
        <color indexed="10"/>
        <rFont val="SWISS"/>
      </rPr>
      <t>Crosswind, Summit, and estimated Paxson Lake subtracted out, 1978-present</t>
    </r>
    <r>
      <rPr>
        <b/>
        <sz val="16"/>
        <rFont val="SWISS"/>
      </rPr>
      <t>)</t>
    </r>
  </si>
  <si>
    <t>42Hat.xls</t>
  </si>
  <si>
    <t xml:space="preserve">      avg = mean of 1995-1998 Byrs;  mean is dropping fast.</t>
  </si>
  <si>
    <r>
      <t>R</t>
    </r>
    <r>
      <rPr>
        <vertAlign val="superscript"/>
        <sz val="12"/>
        <color indexed="8"/>
        <rFont val="SWISS"/>
      </rPr>
      <t>2</t>
    </r>
    <r>
      <rPr>
        <sz val="12"/>
        <color indexed="8"/>
        <rFont val="SWISS"/>
      </rPr>
      <t xml:space="preserve">     =</t>
    </r>
  </si>
  <si>
    <t>Absolute</t>
  </si>
  <si>
    <t>MAPE</t>
  </si>
  <si>
    <t>MSE</t>
  </si>
  <si>
    <t>MSE (ln)</t>
  </si>
  <si>
    <t>in Nr. of Fish</t>
  </si>
  <si>
    <r>
      <t>r</t>
    </r>
    <r>
      <rPr>
        <b/>
        <vertAlign val="superscript"/>
        <sz val="12"/>
        <rFont val="SWISS"/>
      </rPr>
      <t>2</t>
    </r>
  </si>
  <si>
    <t>80% CI of Mean</t>
  </si>
  <si>
    <t>Total Squared Error</t>
  </si>
  <si>
    <t>Sum of wild and hatchery ranges</t>
  </si>
  <si>
    <t xml:space="preserve">   Delta Aerial SEG*2</t>
  </si>
  <si>
    <t xml:space="preserve">   Sonar SEG</t>
  </si>
  <si>
    <t>New SEG (2003) 55-130 k with average of 84.4 k</t>
  </si>
  <si>
    <t>"Allowable" Harvest of Natural Runs</t>
  </si>
  <si>
    <t>Allowable commercial harvest of natural runs :</t>
  </si>
  <si>
    <t>Execute AInsertNewYear once from any location as long as the sheet names have not changed.</t>
  </si>
  <si>
    <t>Other SALMON:</t>
  </si>
  <si>
    <t>Recalculate</t>
  </si>
  <si>
    <t>Model = Predict log returns per spawner aged 1.2 (ln(Rd1.2/S) from brood year escapement (S)</t>
  </si>
  <si>
    <t xml:space="preserve">  (Historical Gulkana Springs.  Appears to be supported by current CWT data in SOCKTAB.)</t>
  </si>
  <si>
    <t>Percent Error</t>
  </si>
  <si>
    <t>03</t>
  </si>
  <si>
    <t>04</t>
  </si>
  <si>
    <t>05</t>
  </si>
  <si>
    <t>Total run</t>
  </si>
  <si>
    <t>Execute BJackKnifeRoutine from any location in the active sheet.  Macro reinitializes years and resorts main data array each time, so not necessary to  adjust before running.</t>
  </si>
  <si>
    <t>Total return estimate</t>
  </si>
  <si>
    <t>by release site</t>
  </si>
  <si>
    <t>Copper River sockeye salmon forecast SUMMARY for year:</t>
  </si>
  <si>
    <t>L 80% CI</t>
  </si>
  <si>
    <t>U 80% CI</t>
  </si>
  <si>
    <t>NA</t>
  </si>
  <si>
    <t>Wild</t>
  </si>
  <si>
    <t>06</t>
  </si>
  <si>
    <t>07</t>
  </si>
  <si>
    <t>08</t>
  </si>
  <si>
    <t>Mean BYR Return</t>
  </si>
  <si>
    <t>(last 5 years by BYR)</t>
  </si>
  <si>
    <t>Harvest</t>
  </si>
  <si>
    <t>Rank</t>
  </si>
  <si>
    <t>Estimated total run</t>
  </si>
  <si>
    <t>Wild only</t>
  </si>
  <si>
    <t>Enhanced</t>
  </si>
  <si>
    <t>Estimated Commercial Harvest</t>
  </si>
  <si>
    <t>Estimated WILD spawning escapements</t>
  </si>
  <si>
    <t>Up River</t>
  </si>
  <si>
    <t>Delta</t>
  </si>
  <si>
    <t xml:space="preserve">Miles Lake </t>
  </si>
  <si>
    <t>Estimated total run (Wild only):</t>
  </si>
  <si>
    <t>Estimated total run (Enhanced):</t>
  </si>
  <si>
    <t>Commercial harvest (Total):</t>
  </si>
  <si>
    <t>Commercial harvest (Enhanced):</t>
  </si>
  <si>
    <t>Spawning Esc. (WILD upriver):</t>
  </si>
  <si>
    <t>Spawning Esc. (Delts):</t>
  </si>
  <si>
    <t>Miles Lake sonar counts:</t>
  </si>
  <si>
    <t>file:///R:\Salmon\CBRSalmon\AWL\CatchbyAge_Sock.xls</t>
  </si>
  <si>
    <t>file:///R:\Salmon\CBRSalmon\HATCHERY\CONTRIB\Gulkana%20Contributions%201974-2007.xls</t>
  </si>
  <si>
    <t>file:///R:\Salmon\CBRSalmon\ESCAPE\Sonar\Miles_Lake_Sonar_Anticipated_&amp;_Actual_1978-2006.xls</t>
  </si>
  <si>
    <t>Worksheet ("By Run")</t>
  </si>
  <si>
    <t>Worksheet("UCR Spwn Esc")</t>
  </si>
  <si>
    <t>Worksheet("Delta Esc")</t>
  </si>
  <si>
    <t>Worksheet("Notes")</t>
  </si>
  <si>
    <t>Copper River total run, commercial harvest, and escapement data.  Ranked since 1980.</t>
  </si>
  <si>
    <t>file:///R:\Salmon\CBRSalmon\CATCH\Commercial\Sockeye\CR_Sockeye_Daily_Harvest.xls</t>
  </si>
  <si>
    <t>Worksheet("Daily Harvest")</t>
  </si>
  <si>
    <t>5 Year</t>
  </si>
  <si>
    <t>10 Year</t>
  </si>
  <si>
    <t>20 Year</t>
  </si>
  <si>
    <t>Averages</t>
  </si>
  <si>
    <t>25 Year</t>
  </si>
  <si>
    <t xml:space="preserve">Difference </t>
  </si>
  <si>
    <t xml:space="preserve">Actual  </t>
  </si>
  <si>
    <t>Last 5 Years</t>
  </si>
  <si>
    <t>Last 10 Years</t>
  </si>
  <si>
    <t>Last 20 Years</t>
  </si>
  <si>
    <t>Last 25 Years</t>
  </si>
  <si>
    <t>Sibling model forecasts started in 1998</t>
  </si>
  <si>
    <t>All</t>
  </si>
  <si>
    <t>Age 4</t>
  </si>
  <si>
    <t>Age 5</t>
  </si>
  <si>
    <t>Forecast Year</t>
  </si>
  <si>
    <t>Total Return at Age (Commercial Harvest + Sonar Passage + Delta Escapement)</t>
  </si>
  <si>
    <t>R/S</t>
  </si>
  <si>
    <t>Figure x.</t>
  </si>
  <si>
    <t>Return per spawner for Copper River sockeye salmon brood years 1978-2002.  This is for the upper Copper River and Copper River</t>
  </si>
  <si>
    <t xml:space="preserve">delta combined. We currently do not have a method to allocation the commercial harvest to upriver or delta, so our brood table is for </t>
  </si>
  <si>
    <t xml:space="preserve">both stock groups combined. This graph begins with 1978 because our first reliable escapement estimates began with the installation of </t>
  </si>
  <si>
    <t>the sonar at Miles Lake in 1978.</t>
  </si>
  <si>
    <t>Models to investigate</t>
  </si>
  <si>
    <t>Average run models</t>
  </si>
  <si>
    <t>Average brood year return models</t>
  </si>
  <si>
    <t xml:space="preserve">Average brood year return by age class </t>
  </si>
  <si>
    <t>Escapement and return models</t>
  </si>
  <si>
    <t>Sibling models</t>
  </si>
  <si>
    <t>Time series models</t>
  </si>
  <si>
    <t xml:space="preserve">exponential smoothing </t>
  </si>
  <si>
    <t>Models with environmental variables</t>
  </si>
  <si>
    <t>Average run and environmental variables</t>
  </si>
  <si>
    <t>Sibling and environmental variables</t>
  </si>
  <si>
    <t>Escapement and environmental variables</t>
  </si>
  <si>
    <t>Copper River discharge</t>
  </si>
  <si>
    <t xml:space="preserve">PDO </t>
  </si>
  <si>
    <t>GAK1 temperatures</t>
  </si>
  <si>
    <t>Environmental variables</t>
  </si>
  <si>
    <t>Correlations with other runs or salmon species</t>
  </si>
  <si>
    <t>Age compositions</t>
  </si>
  <si>
    <t>Miles Lake sonar estimate</t>
  </si>
  <si>
    <t>Delta aerial survey estimate</t>
  </si>
  <si>
    <t>Contribution estimates</t>
  </si>
  <si>
    <t>Harvest estimates</t>
  </si>
  <si>
    <t>Escapement estimates</t>
  </si>
  <si>
    <t>Personal Use harvest</t>
  </si>
  <si>
    <t>Commercial harvest</t>
  </si>
  <si>
    <t>Home pack harvest</t>
  </si>
  <si>
    <t>Subsistence harvest(s)</t>
  </si>
  <si>
    <t>Sport Fishery harvests</t>
  </si>
  <si>
    <t>UCR Subsistence harvest</t>
  </si>
  <si>
    <t xml:space="preserve">Gulkana I </t>
  </si>
  <si>
    <t>Onsite</t>
  </si>
  <si>
    <t xml:space="preserve">Crosswind Lake </t>
  </si>
  <si>
    <t>Harvests</t>
  </si>
  <si>
    <t>Escapements</t>
  </si>
  <si>
    <t>Category</t>
  </si>
  <si>
    <t>Chinook salmon mark-recapture</t>
  </si>
  <si>
    <t>No</t>
  </si>
  <si>
    <t>Yes</t>
  </si>
  <si>
    <t>Uncertainty estimate ?</t>
  </si>
  <si>
    <t>Current?</t>
  </si>
  <si>
    <t>Possible?</t>
  </si>
  <si>
    <t>No??</t>
  </si>
  <si>
    <t>??</t>
  </si>
  <si>
    <t>Individual fish are generally not counted; estimated from average weight sampling that is not standardized.</t>
  </si>
  <si>
    <t>Currently permit returns</t>
  </si>
  <si>
    <t>Currently mail out survey</t>
  </si>
  <si>
    <t>Uncertainty due to observer counting can be estimated along with expansion for time period not counted, but species apportionment???</t>
  </si>
  <si>
    <t>Would require weirs or video to estimate observer efficiency and stream/lake life</t>
  </si>
  <si>
    <t>Uncertainty in the estimate is fairly well-documented</t>
  </si>
  <si>
    <t>Done but Sr contributions need review</t>
  </si>
  <si>
    <t>Sr contribution estimate sampling would provide hatchery contribution estimate</t>
  </si>
  <si>
    <t>Sr contribution estimate sampling would provide hatchery contribution estimate; weir would provide better total estimate</t>
  </si>
  <si>
    <t>Misinterpretation of scale ages; second reads would be helpful</t>
  </si>
  <si>
    <t>Need more paired otolith/scale/length samples to develop better model</t>
  </si>
  <si>
    <t>Length-frequency analysis can be subjective and otolith interpretation needs more testing.</t>
  </si>
  <si>
    <t>Some</t>
  </si>
  <si>
    <t>Where does data uncertainty enter the current sibling model?</t>
  </si>
  <si>
    <t>Estimation of 80% Confidence Intervals for Copper River Sockeye salmon forecasts.</t>
  </si>
  <si>
    <t>No age compositions of harvests or UCR escapements that are specific to wild or enhanced fish</t>
  </si>
  <si>
    <t>Individual fish are generally not counted; estimated from average weight sampling that is not standardized. Bering River District fish counted as CR or vis versa.</t>
  </si>
  <si>
    <t>09</t>
  </si>
  <si>
    <t>10</t>
  </si>
  <si>
    <t>Estimated Commercial Harvest of Hatchery Run</t>
  </si>
  <si>
    <t>Estimated Non-Commercial Harvest of Hatchery Run</t>
  </si>
  <si>
    <t>Projected Harvest of Hatchery Run</t>
  </si>
  <si>
    <t>Gulkana Hatchery Broodstock</t>
  </si>
  <si>
    <t>Gulkana Hatchery Excess</t>
  </si>
  <si>
    <t>Total Projected Common Property Harvest</t>
  </si>
  <si>
    <t>Commercial Common Property Harvest</t>
  </si>
  <si>
    <t>Age Class</t>
  </si>
  <si>
    <t>Brood Year</t>
  </si>
  <si>
    <t>Use to produce two tailed confidence bounds</t>
  </si>
  <si>
    <r>
      <t>α</t>
    </r>
    <r>
      <rPr>
        <sz val="14"/>
        <rFont val="SWISS"/>
      </rPr>
      <t>(2)</t>
    </r>
  </si>
  <si>
    <t>v</t>
  </si>
  <si>
    <t>80% Confidence Bounds</t>
  </si>
  <si>
    <t>Forecast Year =</t>
  </si>
  <si>
    <t>Total Age</t>
  </si>
  <si>
    <t>80% Lower</t>
  </si>
  <si>
    <t>80% Upper</t>
  </si>
  <si>
    <t>Average BY return (last 5 years)</t>
  </si>
  <si>
    <t>Point estimate</t>
  </si>
  <si>
    <t>Total Natural run of all age classes</t>
  </si>
  <si>
    <t>Natural run</t>
  </si>
  <si>
    <t>Enhanced run</t>
  </si>
  <si>
    <t>Brood year</t>
  </si>
  <si>
    <t>Total Enhanced run of all age classes</t>
  </si>
  <si>
    <t>Begin</t>
  </si>
  <si>
    <t>-</t>
  </si>
  <si>
    <t>End</t>
  </si>
  <si>
    <t>year</t>
  </si>
  <si>
    <t>Average return</t>
  </si>
  <si>
    <t>Age 2</t>
  </si>
  <si>
    <t>Age 3</t>
  </si>
  <si>
    <t>Age 6</t>
  </si>
  <si>
    <t>Age 7</t>
  </si>
  <si>
    <t>Run</t>
  </si>
  <si>
    <t xml:space="preserve">* Note that another 9 age classes are documented most years, but average &lt;1.5% of the total run. </t>
  </si>
  <si>
    <t>Ln(1.1)</t>
  </si>
  <si>
    <t>Ln(1.3)</t>
  </si>
  <si>
    <t>Table x.</t>
  </si>
  <si>
    <t>Wild + enhanced</t>
  </si>
  <si>
    <t>Run Year</t>
  </si>
  <si>
    <t>10-Year</t>
  </si>
  <si>
    <t>% difference</t>
  </si>
  <si>
    <t>BY</t>
  </si>
  <si>
    <t>Fry Year</t>
  </si>
  <si>
    <t>61 to 82.5 with a midpoint of 72 k</t>
  </si>
  <si>
    <t>13 x BYE</t>
  </si>
  <si>
    <t>Previous years included</t>
  </si>
  <si>
    <t>The formulas should update automatically as you insert new rows under the last year above and add a new brood year.</t>
  </si>
  <si>
    <t>Average for last x years (excluding forecast year!)</t>
  </si>
  <si>
    <t>Median for last x years (excluding forecast year!)</t>
  </si>
  <si>
    <t>Age 1.2</t>
  </si>
  <si>
    <t>Wild Total Run Forecast</t>
  </si>
  <si>
    <t>to nearest =</t>
  </si>
  <si>
    <t>Exploitation rate</t>
  </si>
  <si>
    <t xml:space="preserve">Wild </t>
  </si>
  <si>
    <t>Total harvest</t>
  </si>
  <si>
    <t>1990-2011 avg (Total Hvst/Total Return) from sheet "Rank data"</t>
  </si>
  <si>
    <t>1990-2011 avg (Commercial Hvst/Total Hvst) from sheet "Rank data"</t>
  </si>
  <si>
    <t>11</t>
  </si>
  <si>
    <t>New SEG (2011) 360-750 k with average of 450 k</t>
  </si>
  <si>
    <t xml:space="preserve">100 to 150 k </t>
  </si>
  <si>
    <t xml:space="preserve">   Inriver Reservation</t>
  </si>
  <si>
    <t xml:space="preserve"> UCR Inriver Reservation</t>
  </si>
  <si>
    <t>12</t>
  </si>
  <si>
    <t>Last 10 years</t>
  </si>
  <si>
    <t>Min</t>
  </si>
  <si>
    <t>Max</t>
  </si>
  <si>
    <t>Recent 10-year percent error PI</t>
  </si>
  <si>
    <t>Smolt Year</t>
  </si>
  <si>
    <t>Lower bound of SEG range of 360 to 750 thousand</t>
  </si>
  <si>
    <t>The remaining age classes are ~1.5% of the average total run.</t>
  </si>
  <si>
    <t>SST averaged over various domains</t>
  </si>
  <si>
    <t>Figures X.  Estimated number of age 1.3 wild sockeye salmon in the total run to the Copper River, 1966–2013 with selected lable ranks (top panel). The bottom panel shows the percentage difference between the recent 10-year average number of age 1.3 wild sockeye salmon and the actual number. The last value (+6.5%%) is the 2013 forecast (red bar).</t>
  </si>
  <si>
    <t>Total Natural and Hatchery run of all age classes</t>
  </si>
  <si>
    <t>Regression mean</t>
  </si>
  <si>
    <t>Regression mean + average of actual difference from mean</t>
  </si>
  <si>
    <t xml:space="preserve">Method to attempt to adjust forecast to account for 5 of 6 previous years with &gt;400,000 age 2 fish </t>
  </si>
  <si>
    <t>producing runs much larger than the regression mean</t>
  </si>
  <si>
    <t>average of differences</t>
  </si>
  <si>
    <t xml:space="preserve">Regression mean </t>
  </si>
  <si>
    <t>Ln(1.2)</t>
  </si>
  <si>
    <t>Done</t>
  </si>
  <si>
    <t>Some examined</t>
  </si>
  <si>
    <t>return</t>
  </si>
  <si>
    <t>Lookup offset</t>
  </si>
  <si>
    <t>SUMMARY OUTPUT</t>
  </si>
  <si>
    <t>Regression Statistics</t>
  </si>
  <si>
    <t>Multiple R</t>
  </si>
  <si>
    <t>R Square</t>
  </si>
  <si>
    <t>Adjusted R Square</t>
  </si>
  <si>
    <t>Standard Error</t>
  </si>
  <si>
    <t>Observations</t>
  </si>
  <si>
    <t>ANOVA</t>
  </si>
  <si>
    <t>Regression</t>
  </si>
  <si>
    <t>Residual</t>
  </si>
  <si>
    <t>df</t>
  </si>
  <si>
    <t>SS</t>
  </si>
  <si>
    <t>MS</t>
  </si>
  <si>
    <t>F</t>
  </si>
  <si>
    <t>Significance F</t>
  </si>
  <si>
    <t>Coefficients</t>
  </si>
  <si>
    <t>t Stat</t>
  </si>
  <si>
    <t>P-value</t>
  </si>
  <si>
    <t>Lower 95%</t>
  </si>
  <si>
    <t>Upper 95%</t>
  </si>
  <si>
    <t>X Variable 1</t>
  </si>
  <si>
    <r>
      <t>r</t>
    </r>
    <r>
      <rPr>
        <vertAlign val="superscript"/>
        <sz val="12"/>
        <rFont val="SWISS"/>
      </rPr>
      <t>2</t>
    </r>
    <r>
      <rPr>
        <sz val="12"/>
        <rFont val="SWISS"/>
      </rPr>
      <t xml:space="preserve">     =</t>
    </r>
  </si>
  <si>
    <t>ln(Rd1.2/S)</t>
  </si>
  <si>
    <t>Sonar adjusted</t>
  </si>
  <si>
    <t>r2 =</t>
  </si>
  <si>
    <t>Year (t+1)</t>
  </si>
  <si>
    <t>Year (t)</t>
  </si>
  <si>
    <t>Age 1.2 (Wild Stock)</t>
  </si>
  <si>
    <t>Wild stock</t>
  </si>
  <si>
    <t>Ln(R)</t>
  </si>
  <si>
    <t>Table</t>
  </si>
  <si>
    <t>Estimated brood year Contribution</t>
  </si>
  <si>
    <t>Fry release</t>
  </si>
  <si>
    <t xml:space="preserve">Total   </t>
  </si>
  <si>
    <t xml:space="preserve">Age 4 </t>
  </si>
  <si>
    <t xml:space="preserve">Fry to Adult   </t>
  </si>
  <si>
    <t>Fry Release</t>
  </si>
  <si>
    <t>Return Year</t>
  </si>
  <si>
    <t xml:space="preserve">Age 5 </t>
  </si>
  <si>
    <t>Survival  proportion</t>
  </si>
  <si>
    <t>FA Survival</t>
  </si>
  <si>
    <t xml:space="preserve">Forecast Year </t>
  </si>
  <si>
    <t>Total Return by Brood year</t>
  </si>
  <si>
    <t>Estimated Age Proportions</t>
  </si>
  <si>
    <t>Average Survival years</t>
  </si>
  <si>
    <t>Average Survival</t>
  </si>
  <si>
    <t>Total Projection Point Estimates</t>
  </si>
  <si>
    <t xml:space="preserve">     Chitina Subdist. Sub/PU Harvest (sockeye 5 year avg - 2008–2012; state and federal expanded.</t>
  </si>
  <si>
    <t xml:space="preserve">     Glenallen Subdist. Subs Sockeye Harvest (5 year avg. 2008–2012; state and federal expanded)</t>
  </si>
  <si>
    <t xml:space="preserve">Fry to adult survival </t>
  </si>
  <si>
    <t>Yield</t>
  </si>
  <si>
    <t>Cut and paste from CatchbyAgeSock.xls (Sheet "By Return") located at: DCF\SALMON\AWL\CBR_Salmon\CatchbyAge_Sock.xlsx</t>
  </si>
  <si>
    <t>1990-2014 weighted exploitation rate</t>
  </si>
  <si>
    <t>Estimated Gulkana Hatchery fry releases, 1974-2013.</t>
  </si>
  <si>
    <t>from 2014 forecast</t>
  </si>
  <si>
    <t xml:space="preserve">Copper River sockeye salmon total run forecast by age for models selected for the 2015 forecast. </t>
  </si>
  <si>
    <r>
      <rPr>
        <b/>
        <sz val="14"/>
        <color rgb="FFFF0000"/>
        <rFont val="Times New Roman"/>
        <family val="1"/>
      </rPr>
      <t>Copper River WILD sockeye salmon</t>
    </r>
    <r>
      <rPr>
        <b/>
        <sz val="14"/>
        <rFont val="Times New Roman"/>
        <family val="1"/>
      </rPr>
      <t xml:space="preserve"> run by age class, 1960-2014.  The age classes that are used in the forecast are high lighted in yellow. </t>
    </r>
  </si>
  <si>
    <t>used this one for 2015</t>
  </si>
  <si>
    <t>Rank last 20 years</t>
  </si>
  <si>
    <t>2010-2014</t>
  </si>
  <si>
    <t>2005 -2014</t>
  </si>
  <si>
    <t>1995-2014</t>
  </si>
  <si>
    <t>1990-2014</t>
  </si>
  <si>
    <t xml:space="preserve">Total </t>
  </si>
  <si>
    <t xml:space="preserve">Figures X.  Estimated number of age 1.2 wild sockeye salmon in the total run to the Copper River, 1965–2014 with selected ranks as a lable (top panel). The bottom panel shows the percentage difference between the recent 10-year average number of age 1.2 wild sockeye salmon and the actual number. The last value (+78%) is the 2014 values used to forecast 2015 age-5 fish. </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</si>
</sst>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43" formatCode="_(* #,##0.00_);_(* \(#,##0.00\);_(* &quot;-&quot;??_);_(@_)"/>
    <numFmt numFmtId="164" formatCode="mm/dd/yy_)"/>
    <numFmt numFmtId="165" formatCode="0.000_)"/>
    <numFmt numFmtId="166" formatCode="0.0000_)"/>
    <numFmt numFmtId="167" formatCode="0.0%"/>
    <numFmt numFmtId="168" formatCode="0.00E+00_)"/>
    <numFmt numFmtId="169" formatCode="0_)"/>
    <numFmt numFmtId="170" formatCode="0.0_)"/>
    <numFmt numFmtId="171" formatCode="0.00_)"/>
    <numFmt numFmtId="172" formatCode="0.00000000_)"/>
    <numFmt numFmtId="173" formatCode="0.0000000_)"/>
    <numFmt numFmtId="174" formatCode="0.00000_)"/>
    <numFmt numFmtId="175" formatCode="0.000000_)"/>
    <numFmt numFmtId="176" formatCode="0.00000"/>
    <numFmt numFmtId="177" formatCode="0.0"/>
    <numFmt numFmtId="178" formatCode="0.000000"/>
    <numFmt numFmtId="179" formatCode="0.0000"/>
    <numFmt numFmtId="180" formatCode="_(* #,##0_);_(* \(#,##0\);_(* &quot;-&quot;??_);_(@_)"/>
    <numFmt numFmtId="181" formatCode="0.00000000"/>
    <numFmt numFmtId="182" formatCode="0.000"/>
    <numFmt numFmtId="183" formatCode="0.000000000"/>
    <numFmt numFmtId="184" formatCode="#,##0.000"/>
    <numFmt numFmtId="185" formatCode="#,##0.00000"/>
    <numFmt numFmtId="186" formatCode="#,##0.000_);\(#,##0.000\)"/>
  </numFmts>
  <fonts count="116">
    <font>
      <sz val="12"/>
      <name val="SWISS"/>
    </font>
    <font>
      <sz val="10"/>
      <name val="Times New Roman"/>
      <family val="1"/>
    </font>
    <font>
      <sz val="12"/>
      <color indexed="12"/>
      <name val="SWISS"/>
      <family val="2"/>
    </font>
    <font>
      <sz val="12"/>
      <color indexed="17"/>
      <name val="Arial MT"/>
      <family val="2"/>
    </font>
    <font>
      <sz val="12"/>
      <name val="SWISS"/>
      <family val="2"/>
    </font>
    <font>
      <sz val="12"/>
      <color indexed="14"/>
      <name val="Arial MT"/>
      <family val="2"/>
    </font>
    <font>
      <sz val="12"/>
      <color indexed="10"/>
      <name val="Arial MT"/>
      <family val="2"/>
    </font>
    <font>
      <b/>
      <i/>
      <sz val="18"/>
      <color indexed="8"/>
      <name val="Times New Roman"/>
      <family val="1"/>
    </font>
    <font>
      <sz val="12"/>
      <color indexed="8"/>
      <name val="Times New Roman"/>
      <family val="1"/>
    </font>
    <font>
      <sz val="12"/>
      <color indexed="10"/>
      <name val="Times New Roman"/>
      <family val="1"/>
    </font>
    <font>
      <sz val="12"/>
      <name val="Times New Roman"/>
      <family val="1"/>
    </font>
    <font>
      <sz val="12"/>
      <color indexed="8"/>
      <name val="SWISS"/>
      <family val="2"/>
    </font>
    <font>
      <sz val="12"/>
      <color indexed="10"/>
      <name val="SWISS"/>
      <family val="2"/>
    </font>
    <font>
      <b/>
      <sz val="18"/>
      <name val="Times New Roman"/>
      <family val="1"/>
    </font>
    <font>
      <b/>
      <sz val="12"/>
      <name val="SWISS"/>
      <family val="2"/>
    </font>
    <font>
      <b/>
      <sz val="12"/>
      <name val="Times New Roman"/>
      <family val="1"/>
    </font>
    <font>
      <b/>
      <sz val="14"/>
      <color indexed="17"/>
      <name val="Times New Roman"/>
      <family val="1"/>
    </font>
    <font>
      <sz val="8"/>
      <name val="Times New Roman"/>
      <family val="1"/>
    </font>
    <font>
      <b/>
      <sz val="14"/>
      <name val="Times New Roman"/>
      <family val="1"/>
    </font>
    <font>
      <b/>
      <sz val="14"/>
      <color indexed="8"/>
      <name val="Times New Roman"/>
      <family val="1"/>
    </font>
    <font>
      <sz val="14"/>
      <name val="Times New Roman"/>
      <family val="1"/>
    </font>
    <font>
      <b/>
      <sz val="14"/>
      <color indexed="12"/>
      <name val="Times New Roman"/>
      <family val="1"/>
    </font>
    <font>
      <b/>
      <sz val="14"/>
      <color indexed="10"/>
      <name val="Times New Roman"/>
      <family val="1"/>
    </font>
    <font>
      <sz val="12"/>
      <name val="Arial MT"/>
      <family val="2"/>
    </font>
    <font>
      <sz val="14"/>
      <name val="CG Times (WN)"/>
      <family val="1"/>
    </font>
    <font>
      <sz val="12"/>
      <color indexed="12"/>
      <name val="Arial MT"/>
      <family val="2"/>
    </font>
    <font>
      <b/>
      <sz val="24"/>
      <color indexed="10"/>
      <name val="Times New Roman"/>
      <family val="1"/>
    </font>
    <font>
      <sz val="10"/>
      <name val="DUTCH"/>
      <family val="1"/>
    </font>
    <font>
      <sz val="12"/>
      <color indexed="18"/>
      <name val="SWISS"/>
      <family val="2"/>
    </font>
    <font>
      <b/>
      <sz val="18"/>
      <color indexed="10"/>
      <name val="SWISS"/>
      <family val="2"/>
    </font>
    <font>
      <sz val="8"/>
      <color indexed="81"/>
      <name val="Tahoma"/>
      <family val="2"/>
    </font>
    <font>
      <sz val="12"/>
      <color indexed="10"/>
      <name val="SWISS"/>
    </font>
    <font>
      <sz val="12"/>
      <color indexed="8"/>
      <name val="SWISS"/>
    </font>
    <font>
      <vertAlign val="superscript"/>
      <sz val="10"/>
      <name val="DUTCH"/>
    </font>
    <font>
      <vertAlign val="subscript"/>
      <sz val="10"/>
      <name val="DUTCH"/>
    </font>
    <font>
      <i/>
      <sz val="12"/>
      <name val="SWISS"/>
    </font>
    <font>
      <b/>
      <sz val="8"/>
      <color indexed="81"/>
      <name val="Tahoma"/>
      <family val="2"/>
    </font>
    <font>
      <sz val="12"/>
      <name val="SWISS"/>
    </font>
    <font>
      <sz val="12"/>
      <color indexed="8"/>
      <name val="Arial MT"/>
    </font>
    <font>
      <sz val="12"/>
      <color indexed="12"/>
      <name val="SWISS"/>
    </font>
    <font>
      <b/>
      <sz val="12"/>
      <name val="SWISS"/>
    </font>
    <font>
      <sz val="14"/>
      <color indexed="8"/>
      <name val="Times New Roman"/>
      <family val="1"/>
    </font>
    <font>
      <u/>
      <sz val="14"/>
      <color indexed="8"/>
      <name val="Times New Roman"/>
      <family val="1"/>
    </font>
    <font>
      <b/>
      <u/>
      <sz val="14"/>
      <color indexed="8"/>
      <name val="Times New Roman"/>
      <family val="1"/>
    </font>
    <font>
      <sz val="10"/>
      <name val="SWISS"/>
    </font>
    <font>
      <sz val="10"/>
      <name val="Times New Roman"/>
      <family val="1"/>
    </font>
    <font>
      <b/>
      <sz val="12"/>
      <color indexed="81"/>
      <name val="Tahoma"/>
      <family val="2"/>
    </font>
    <font>
      <sz val="12"/>
      <color indexed="81"/>
      <name val="Tahoma"/>
      <family val="2"/>
    </font>
    <font>
      <b/>
      <sz val="16"/>
      <name val="SWISS"/>
    </font>
    <font>
      <b/>
      <sz val="18"/>
      <color indexed="12"/>
      <name val="Times New Roman"/>
      <family val="1"/>
    </font>
    <font>
      <sz val="12"/>
      <color indexed="8"/>
      <name val="Arial MT"/>
      <family val="2"/>
    </font>
    <font>
      <vertAlign val="superscript"/>
      <sz val="12"/>
      <name val="SWISS"/>
    </font>
    <font>
      <b/>
      <sz val="16"/>
      <color indexed="10"/>
      <name val="SWISS"/>
    </font>
    <font>
      <b/>
      <sz val="12"/>
      <color indexed="8"/>
      <name val="Times New Roman"/>
      <family val="1"/>
    </font>
    <font>
      <sz val="10"/>
      <color indexed="81"/>
      <name val="Tahoma"/>
      <family val="2"/>
    </font>
    <font>
      <vertAlign val="superscript"/>
      <sz val="12"/>
      <color indexed="8"/>
      <name val="SWISS"/>
    </font>
    <font>
      <b/>
      <sz val="12"/>
      <color indexed="12"/>
      <name val="SWISS"/>
    </font>
    <font>
      <sz val="12"/>
      <color indexed="12"/>
      <name val="Arial MT"/>
    </font>
    <font>
      <sz val="12"/>
      <name val="DUTCH"/>
    </font>
    <font>
      <b/>
      <vertAlign val="superscript"/>
      <sz val="12"/>
      <name val="SWISS"/>
    </font>
    <font>
      <sz val="8"/>
      <name val="SWISS"/>
    </font>
    <font>
      <sz val="12"/>
      <name val="DUTCH"/>
      <family val="1"/>
    </font>
    <font>
      <u/>
      <sz val="6.6"/>
      <color indexed="12"/>
      <name val="Arial MT"/>
    </font>
    <font>
      <sz val="12"/>
      <color indexed="10"/>
      <name val="Tahoma"/>
      <family val="2"/>
    </font>
    <font>
      <b/>
      <sz val="16"/>
      <color indexed="12"/>
      <name val="SWISS"/>
    </font>
    <font>
      <b/>
      <u/>
      <sz val="14"/>
      <color indexed="10"/>
      <name val="Times New Roman"/>
      <family val="1"/>
    </font>
    <font>
      <b/>
      <sz val="10"/>
      <color indexed="81"/>
      <name val="Tahoma"/>
      <family val="2"/>
    </font>
    <font>
      <b/>
      <sz val="16"/>
      <color indexed="81"/>
      <name val="Tahoma"/>
      <family val="2"/>
    </font>
    <font>
      <u/>
      <sz val="12"/>
      <color indexed="12"/>
      <name val="Arial MT"/>
    </font>
    <font>
      <sz val="12"/>
      <color indexed="12"/>
      <name val="Times New Roman"/>
      <family val="1"/>
    </font>
    <font>
      <b/>
      <sz val="11"/>
      <color indexed="81"/>
      <name val="Tahoma"/>
      <family val="2"/>
    </font>
    <font>
      <sz val="11"/>
      <color indexed="81"/>
      <name val="Tahoma"/>
      <family val="2"/>
    </font>
    <font>
      <b/>
      <sz val="20"/>
      <color indexed="81"/>
      <name val="Tahoma"/>
      <family val="2"/>
    </font>
    <font>
      <sz val="20"/>
      <color indexed="81"/>
      <name val="Tahoma"/>
      <family val="2"/>
    </font>
    <font>
      <b/>
      <sz val="12"/>
      <color indexed="12"/>
      <name val="Times New Roman"/>
      <family val="1"/>
    </font>
    <font>
      <b/>
      <sz val="16"/>
      <color indexed="12"/>
      <name val="Times New Roman"/>
      <family val="1"/>
    </font>
    <font>
      <sz val="14"/>
      <name val="SWISS"/>
    </font>
    <font>
      <b/>
      <sz val="14"/>
      <color indexed="81"/>
      <name val="Tahoma"/>
      <family val="2"/>
    </font>
    <font>
      <sz val="14"/>
      <color indexed="81"/>
      <name val="Tahoma"/>
      <family val="2"/>
    </font>
    <font>
      <sz val="12"/>
      <name val="Arial MT"/>
    </font>
    <font>
      <sz val="8"/>
      <name val="Arial MT"/>
    </font>
    <font>
      <sz val="20"/>
      <name val="Arial MT"/>
    </font>
    <font>
      <b/>
      <sz val="18"/>
      <name val="SWISS"/>
    </font>
    <font>
      <sz val="16"/>
      <color indexed="81"/>
      <name val="Tahoma"/>
      <family val="2"/>
    </font>
    <font>
      <sz val="14"/>
      <name val="Arial"/>
      <family val="2"/>
    </font>
    <font>
      <b/>
      <u/>
      <sz val="12"/>
      <name val="Times New Roman"/>
      <family val="1"/>
    </font>
    <font>
      <b/>
      <sz val="16"/>
      <name val="Times New Roman"/>
      <family val="1"/>
    </font>
    <font>
      <sz val="10"/>
      <color indexed="12"/>
      <name val="Times New Roman"/>
      <family val="1"/>
    </font>
    <font>
      <sz val="24"/>
      <color indexed="10"/>
      <name val="Tahoma"/>
      <family val="2"/>
    </font>
    <font>
      <sz val="8"/>
      <color indexed="12"/>
      <name val="SWISS"/>
    </font>
    <font>
      <u/>
      <sz val="12"/>
      <color rgb="FF0000FF"/>
      <name val="Arial MT"/>
    </font>
    <font>
      <u/>
      <sz val="12"/>
      <name val="Times New Roman"/>
      <family val="1"/>
    </font>
    <font>
      <b/>
      <u/>
      <sz val="14"/>
      <color rgb="FFFF0000"/>
      <name val="Times New Roman"/>
      <family val="1"/>
    </font>
    <font>
      <b/>
      <sz val="12"/>
      <color rgb="FFFF0000"/>
      <name val="Times New Roman"/>
      <family val="1"/>
    </font>
    <font>
      <sz val="12"/>
      <color rgb="FFFF0000"/>
      <name val="SWISS"/>
    </font>
    <font>
      <b/>
      <sz val="14"/>
      <color theme="1"/>
      <name val="Times New Roman"/>
      <family val="1"/>
    </font>
    <font>
      <sz val="12"/>
      <color theme="1"/>
      <name val="Times New Roman"/>
      <family val="1"/>
    </font>
    <font>
      <sz val="12"/>
      <color theme="1"/>
      <name val="SWISS"/>
    </font>
    <font>
      <b/>
      <sz val="12"/>
      <color rgb="FFFF0000"/>
      <name val="SWISS"/>
    </font>
    <font>
      <sz val="12"/>
      <color rgb="FFFF0000"/>
      <name val="Times New Roman"/>
      <family val="1"/>
    </font>
    <font>
      <u/>
      <sz val="12"/>
      <name val="SWISS"/>
    </font>
    <font>
      <b/>
      <sz val="14"/>
      <color rgb="FFFF0000"/>
      <name val="Times New Roman"/>
      <family val="1"/>
    </font>
    <font>
      <sz val="12"/>
      <color indexed="81"/>
      <name val="Times New Roman"/>
      <family val="1"/>
    </font>
    <font>
      <sz val="14"/>
      <color rgb="FFFF0000"/>
      <name val="Times New Roman"/>
      <family val="1"/>
    </font>
    <font>
      <sz val="18"/>
      <color indexed="81"/>
      <name val="Tahoma"/>
      <family val="2"/>
    </font>
    <font>
      <sz val="10"/>
      <name val="Times New Roman"/>
      <family val="1"/>
    </font>
    <font>
      <b/>
      <sz val="10"/>
      <name val="Times New Roman"/>
      <family val="1"/>
    </font>
    <font>
      <sz val="10"/>
      <color indexed="8"/>
      <name val="Times New Roman"/>
      <family val="1"/>
    </font>
    <font>
      <sz val="10"/>
      <color rgb="FFFF0000"/>
      <name val="Times New Roman"/>
      <family val="1"/>
    </font>
    <font>
      <sz val="16"/>
      <color rgb="FFFF0000"/>
      <name val="Times New Roman"/>
      <family val="1"/>
    </font>
    <font>
      <sz val="10"/>
      <color rgb="FF0000FF"/>
      <name val="Times New Roman"/>
      <family val="1"/>
    </font>
    <font>
      <sz val="9"/>
      <color indexed="81"/>
      <name val="Tahoma"/>
      <family val="2"/>
    </font>
    <font>
      <sz val="12"/>
      <color rgb="FF0000FF"/>
      <name val="SWISS"/>
    </font>
    <font>
      <b/>
      <sz val="9"/>
      <color indexed="81"/>
      <name val="Tahoma"/>
      <family val="2"/>
    </font>
    <font>
      <sz val="12"/>
      <color rgb="FF0000FF"/>
      <name val="Times New Roman"/>
      <family val="1"/>
    </font>
    <font>
      <sz val="16"/>
      <color indexed="10"/>
      <name val="Tahoma"/>
      <family val="2"/>
    </font>
  </fonts>
  <fills count="13">
    <fill>
      <patternFill patternType="none"/>
    </fill>
    <fill>
      <patternFill patternType="gray125"/>
    </fill>
    <fill>
      <patternFill patternType="solid">
        <fgColor indexed="9"/>
        <bgColor indexed="9"/>
      </patternFill>
    </fill>
    <fill>
      <patternFill patternType="solid">
        <fgColor indexed="13"/>
        <bgColor indexed="13"/>
      </patternFill>
    </fill>
    <fill>
      <patternFill patternType="solid">
        <fgColor indexed="13"/>
        <bgColor indexed="64"/>
      </patternFill>
    </fill>
    <fill>
      <patternFill patternType="solid">
        <fgColor indexed="15"/>
        <bgColor indexed="15"/>
      </patternFill>
    </fill>
    <fill>
      <patternFill patternType="solid">
        <fgColor indexed="22"/>
        <bgColor indexed="64"/>
      </patternFill>
    </fill>
    <fill>
      <patternFill patternType="solid">
        <fgColor indexed="13"/>
        <bgColor indexed="9"/>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rgb="FFFFC000"/>
        <bgColor indexed="64"/>
      </patternFill>
    </fill>
  </fills>
  <borders count="158">
    <border>
      <left/>
      <right/>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8"/>
      </left>
      <right/>
      <top/>
      <bottom/>
      <diagonal/>
    </border>
    <border>
      <left style="thin">
        <color indexed="8"/>
      </left>
      <right style="thin">
        <color indexed="8"/>
      </right>
      <top/>
      <bottom/>
      <diagonal/>
    </border>
    <border>
      <left style="thin">
        <color indexed="8"/>
      </left>
      <right/>
      <top/>
      <bottom style="thin">
        <color indexed="8"/>
      </bottom>
      <diagonal/>
    </border>
    <border>
      <left style="thin">
        <color indexed="8"/>
      </left>
      <right style="thin">
        <color indexed="8"/>
      </right>
      <top/>
      <bottom style="thin">
        <color indexed="8"/>
      </bottom>
      <diagonal/>
    </border>
    <border>
      <left/>
      <right/>
      <top style="thin">
        <color indexed="8"/>
      </top>
      <bottom/>
      <diagonal/>
    </border>
    <border>
      <left style="medium">
        <color indexed="8"/>
      </left>
      <right/>
      <top/>
      <bottom style="medium">
        <color indexed="8"/>
      </bottom>
      <diagonal/>
    </border>
    <border>
      <left/>
      <right/>
      <top/>
      <bottom style="medium">
        <color indexed="8"/>
      </bottom>
      <diagonal/>
    </border>
    <border>
      <left style="double">
        <color indexed="8"/>
      </left>
      <right/>
      <top/>
      <bottom/>
      <diagonal/>
    </border>
    <border>
      <left/>
      <right style="double">
        <color indexed="8"/>
      </right>
      <top/>
      <bottom/>
      <diagonal/>
    </border>
    <border>
      <left style="double">
        <color indexed="8"/>
      </left>
      <right/>
      <top style="thin">
        <color indexed="8"/>
      </top>
      <bottom/>
      <diagonal/>
    </border>
    <border>
      <left/>
      <right/>
      <top/>
      <bottom style="thin">
        <color indexed="8"/>
      </bottom>
      <diagonal/>
    </border>
    <border>
      <left/>
      <right style="thin">
        <color indexed="8"/>
      </right>
      <top style="thin">
        <color indexed="8"/>
      </top>
      <bottom/>
      <diagonal/>
    </border>
    <border>
      <left/>
      <right style="thin">
        <color indexed="8"/>
      </right>
      <top/>
      <bottom/>
      <diagonal/>
    </border>
    <border>
      <left/>
      <right style="thin">
        <color indexed="8"/>
      </right>
      <top/>
      <bottom style="thin">
        <color indexed="8"/>
      </bottom>
      <diagonal/>
    </border>
    <border>
      <left style="double">
        <color indexed="8"/>
      </left>
      <right style="thin">
        <color indexed="8"/>
      </right>
      <top/>
      <bottom style="thin">
        <color indexed="8"/>
      </bottom>
      <diagonal/>
    </border>
    <border>
      <left/>
      <right style="double">
        <color indexed="8"/>
      </right>
      <top style="thin">
        <color indexed="8"/>
      </top>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right style="double">
        <color indexed="8"/>
      </right>
      <top style="thin">
        <color indexed="8"/>
      </top>
      <bottom style="thin">
        <color indexed="8"/>
      </bottom>
      <diagonal/>
    </border>
    <border>
      <left style="double">
        <color indexed="8"/>
      </left>
      <right/>
      <top/>
      <bottom style="thin">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top style="medium">
        <color indexed="64"/>
      </top>
      <bottom style="thin">
        <color indexed="64"/>
      </bottom>
      <diagonal/>
    </border>
    <border>
      <left/>
      <right style="double">
        <color indexed="8"/>
      </right>
      <top/>
      <bottom style="thin">
        <color indexed="8"/>
      </bottom>
      <diagonal/>
    </border>
    <border>
      <left style="thick">
        <color indexed="8"/>
      </left>
      <right/>
      <top/>
      <bottom/>
      <diagonal/>
    </border>
    <border>
      <left style="thick">
        <color indexed="8"/>
      </left>
      <right/>
      <top/>
      <bottom style="thick">
        <color indexed="8"/>
      </bottom>
      <diagonal/>
    </border>
    <border>
      <left style="thin">
        <color indexed="8"/>
      </left>
      <right style="double">
        <color indexed="8"/>
      </right>
      <top/>
      <bottom/>
      <diagonal/>
    </border>
    <border>
      <left style="thick">
        <color indexed="8"/>
      </left>
      <right style="thin">
        <color indexed="8"/>
      </right>
      <top style="thin">
        <color indexed="8"/>
      </top>
      <bottom style="thin">
        <color indexed="8"/>
      </bottom>
      <diagonal/>
    </border>
    <border>
      <left style="thin">
        <color indexed="8"/>
      </left>
      <right style="double">
        <color indexed="8"/>
      </right>
      <top style="thin">
        <color indexed="8"/>
      </top>
      <bottom style="thin">
        <color indexed="8"/>
      </bottom>
      <diagonal/>
    </border>
    <border>
      <left/>
      <right/>
      <top/>
      <bottom style="thick">
        <color indexed="8"/>
      </bottom>
      <diagonal/>
    </border>
    <border>
      <left/>
      <right style="double">
        <color indexed="8"/>
      </right>
      <top/>
      <bottom style="thick">
        <color indexed="8"/>
      </bottom>
      <diagonal/>
    </border>
    <border>
      <left style="thin">
        <color indexed="8"/>
      </left>
      <right/>
      <top/>
      <bottom style="thick">
        <color indexed="8"/>
      </bottom>
      <diagonal/>
    </border>
    <border>
      <left/>
      <right style="thin">
        <color indexed="8"/>
      </right>
      <top/>
      <bottom style="thick">
        <color indexed="8"/>
      </bottom>
      <diagonal/>
    </border>
    <border>
      <left style="thin">
        <color indexed="8"/>
      </left>
      <right style="thin">
        <color indexed="8"/>
      </right>
      <top/>
      <bottom style="medium">
        <color indexed="8"/>
      </bottom>
      <diagonal/>
    </border>
    <border>
      <left style="thin">
        <color indexed="8"/>
      </left>
      <right style="thin">
        <color indexed="8"/>
      </right>
      <top style="thin">
        <color indexed="8"/>
      </top>
      <bottom style="medium">
        <color indexed="8"/>
      </bottom>
      <diagonal/>
    </border>
    <border>
      <left style="double">
        <color indexed="8"/>
      </left>
      <right style="thin">
        <color indexed="8"/>
      </right>
      <top/>
      <bottom style="medium">
        <color indexed="8"/>
      </bottom>
      <diagonal/>
    </border>
    <border>
      <left/>
      <right style="medium">
        <color indexed="8"/>
      </right>
      <top style="thin">
        <color indexed="8"/>
      </top>
      <bottom/>
      <diagonal/>
    </border>
    <border>
      <left/>
      <right style="medium">
        <color indexed="8"/>
      </right>
      <top/>
      <bottom style="medium">
        <color indexed="8"/>
      </bottom>
      <diagonal/>
    </border>
    <border>
      <left style="thin">
        <color indexed="8"/>
      </left>
      <right style="medium">
        <color indexed="8"/>
      </right>
      <top/>
      <bottom/>
      <diagonal/>
    </border>
    <border>
      <left style="thin">
        <color indexed="8"/>
      </left>
      <right/>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double">
        <color indexed="8"/>
      </right>
      <top/>
      <bottom style="medium">
        <color indexed="8"/>
      </bottom>
      <diagonal/>
    </border>
    <border>
      <left/>
      <right style="thin">
        <color indexed="8"/>
      </right>
      <top/>
      <bottom style="medium">
        <color indexed="8"/>
      </bottom>
      <diagonal/>
    </border>
    <border>
      <left style="double">
        <color indexed="8"/>
      </left>
      <right/>
      <top/>
      <bottom style="medium">
        <color indexed="8"/>
      </bottom>
      <diagonal/>
    </border>
    <border>
      <left/>
      <right style="double">
        <color indexed="8"/>
      </right>
      <top/>
      <bottom style="medium">
        <color indexed="8"/>
      </bottom>
      <diagonal/>
    </border>
    <border>
      <left/>
      <right style="medium">
        <color indexed="64"/>
      </right>
      <top style="medium">
        <color indexed="64"/>
      </top>
      <bottom/>
      <diagonal/>
    </border>
    <border>
      <left style="medium">
        <color indexed="64"/>
      </left>
      <right/>
      <top/>
      <bottom/>
      <diagonal/>
    </border>
    <border>
      <left style="medium">
        <color indexed="64"/>
      </left>
      <right style="thin">
        <color indexed="8"/>
      </right>
      <top style="thin">
        <color indexed="8"/>
      </top>
      <bottom/>
      <diagonal/>
    </border>
    <border>
      <left/>
      <right style="medium">
        <color indexed="64"/>
      </right>
      <top style="thin">
        <color indexed="8"/>
      </top>
      <bottom/>
      <diagonal/>
    </border>
    <border>
      <left style="medium">
        <color indexed="64"/>
      </left>
      <right style="thin">
        <color indexed="8"/>
      </right>
      <top style="thin">
        <color indexed="8"/>
      </top>
      <bottom style="medium">
        <color indexed="8"/>
      </bottom>
      <diagonal/>
    </border>
    <border>
      <left/>
      <right style="medium">
        <color indexed="64"/>
      </right>
      <top/>
      <bottom style="medium">
        <color indexed="8"/>
      </bottom>
      <diagonal/>
    </border>
    <border>
      <left style="thin">
        <color indexed="8"/>
      </left>
      <right style="medium">
        <color indexed="64"/>
      </right>
      <top/>
      <bottom style="medium">
        <color indexed="8"/>
      </bottom>
      <diagonal/>
    </border>
    <border>
      <left style="thin">
        <color indexed="8"/>
      </left>
      <right/>
      <top/>
      <bottom style="medium">
        <color indexed="64"/>
      </bottom>
      <diagonal/>
    </border>
    <border>
      <left style="double">
        <color indexed="8"/>
      </left>
      <right/>
      <top/>
      <bottom style="medium">
        <color indexed="64"/>
      </bottom>
      <diagonal/>
    </border>
    <border>
      <left/>
      <right style="double">
        <color indexed="8"/>
      </right>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top style="thin">
        <color indexed="8"/>
      </top>
      <bottom style="medium">
        <color indexed="64"/>
      </bottom>
      <diagonal/>
    </border>
    <border>
      <left/>
      <right style="thin">
        <color indexed="8"/>
      </right>
      <top style="thin">
        <color indexed="8"/>
      </top>
      <bottom style="medium">
        <color indexed="64"/>
      </bottom>
      <diagonal/>
    </border>
    <border>
      <left/>
      <right style="medium">
        <color indexed="64"/>
      </right>
      <top style="thin">
        <color indexed="8"/>
      </top>
      <bottom style="medium">
        <color indexed="64"/>
      </bottom>
      <diagonal/>
    </border>
    <border>
      <left style="double">
        <color indexed="8"/>
      </left>
      <right/>
      <top style="medium">
        <color indexed="64"/>
      </top>
      <bottom/>
      <diagonal/>
    </border>
    <border>
      <left/>
      <right style="double">
        <color indexed="8"/>
      </right>
      <top style="medium">
        <color indexed="64"/>
      </top>
      <bottom/>
      <diagonal/>
    </border>
    <border>
      <left style="thin">
        <color indexed="8"/>
      </left>
      <right/>
      <top style="medium">
        <color indexed="64"/>
      </top>
      <bottom/>
      <diagonal/>
    </border>
    <border>
      <left/>
      <right style="thin">
        <color indexed="8"/>
      </right>
      <top style="medium">
        <color indexed="64"/>
      </top>
      <bottom/>
      <diagonal/>
    </border>
    <border>
      <left style="medium">
        <color indexed="64"/>
      </left>
      <right/>
      <top/>
      <bottom style="thick">
        <color indexed="8"/>
      </bottom>
      <diagonal/>
    </border>
    <border>
      <left/>
      <right style="medium">
        <color indexed="64"/>
      </right>
      <top/>
      <bottom style="thick">
        <color indexed="8"/>
      </bottom>
      <diagonal/>
    </border>
    <border>
      <left/>
      <right style="thin">
        <color indexed="8"/>
      </right>
      <top/>
      <bottom style="medium">
        <color indexed="64"/>
      </bottom>
      <diagonal/>
    </border>
    <border>
      <left style="double">
        <color indexed="8"/>
      </left>
      <right style="thin">
        <color indexed="8"/>
      </right>
      <top style="thin">
        <color indexed="8"/>
      </top>
      <bottom style="thin">
        <color indexed="8"/>
      </bottom>
      <diagonal/>
    </border>
    <border>
      <left style="thin">
        <color indexed="8"/>
      </left>
      <right style="medium">
        <color indexed="64"/>
      </right>
      <top/>
      <bottom/>
      <diagonal/>
    </border>
    <border>
      <left style="thin">
        <color indexed="8"/>
      </left>
      <right style="medium">
        <color indexed="64"/>
      </right>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top style="medium">
        <color indexed="8"/>
      </top>
      <bottom style="medium">
        <color indexed="8"/>
      </bottom>
      <diagonal/>
    </border>
    <border>
      <left/>
      <right/>
      <top style="thin">
        <color indexed="64"/>
      </top>
      <bottom style="thin">
        <color indexed="64"/>
      </bottom>
      <diagonal/>
    </border>
    <border>
      <left style="medium">
        <color indexed="64"/>
      </left>
      <right/>
      <top style="thin">
        <color indexed="8"/>
      </top>
      <bottom style="medium">
        <color indexed="64"/>
      </bottom>
      <diagonal/>
    </border>
    <border>
      <left/>
      <right style="double">
        <color indexed="8"/>
      </right>
      <top style="thin">
        <color indexed="8"/>
      </top>
      <bottom style="thin">
        <color indexed="64"/>
      </bottom>
      <diagonal/>
    </border>
    <border>
      <left style="thin">
        <color indexed="8"/>
      </left>
      <right/>
      <top style="medium">
        <color indexed="8"/>
      </top>
      <bottom style="thin">
        <color indexed="8"/>
      </bottom>
      <diagonal/>
    </border>
    <border>
      <left/>
      <right style="thin">
        <color indexed="8"/>
      </right>
      <top style="medium">
        <color indexed="8"/>
      </top>
      <bottom/>
      <diagonal/>
    </border>
    <border>
      <left/>
      <right/>
      <top style="thin">
        <color indexed="64"/>
      </top>
      <bottom/>
      <diagonal/>
    </border>
    <border>
      <left/>
      <right/>
      <top/>
      <bottom style="thin">
        <color indexed="64"/>
      </bottom>
      <diagonal/>
    </border>
    <border>
      <left style="thin">
        <color indexed="8"/>
      </left>
      <right style="thin">
        <color indexed="8"/>
      </right>
      <top style="thin">
        <color indexed="64"/>
      </top>
      <bottom style="thin">
        <color indexed="64"/>
      </bottom>
      <diagonal/>
    </border>
    <border>
      <left style="double">
        <color indexed="8"/>
      </left>
      <right style="thin">
        <color indexed="8"/>
      </right>
      <top style="thin">
        <color indexed="8"/>
      </top>
      <bottom/>
      <diagonal/>
    </border>
    <border>
      <left style="double">
        <color indexed="8"/>
      </left>
      <right style="thin">
        <color indexed="8"/>
      </right>
      <top/>
      <bottom/>
      <diagonal/>
    </border>
    <border>
      <left style="double">
        <color indexed="8"/>
      </left>
      <right style="medium">
        <color indexed="8"/>
      </right>
      <top style="medium">
        <color indexed="8"/>
      </top>
      <bottom style="medium">
        <color indexed="64"/>
      </bottom>
      <diagonal/>
    </border>
    <border>
      <left style="thin">
        <color indexed="8"/>
      </left>
      <right style="double">
        <color indexed="8"/>
      </right>
      <top/>
      <bottom style="thin">
        <color indexed="8"/>
      </bottom>
      <diagonal/>
    </border>
    <border>
      <left style="thin">
        <color indexed="64"/>
      </left>
      <right/>
      <top style="thin">
        <color indexed="64"/>
      </top>
      <bottom style="thin">
        <color indexed="64"/>
      </bottom>
      <diagonal/>
    </border>
    <border>
      <left style="thin">
        <color indexed="8"/>
      </left>
      <right/>
      <top style="thin">
        <color indexed="64"/>
      </top>
      <bottom style="thin">
        <color indexed="64"/>
      </bottom>
      <diagonal/>
    </border>
    <border>
      <left/>
      <right style="thin">
        <color indexed="64"/>
      </right>
      <top/>
      <bottom/>
      <diagonal/>
    </border>
    <border>
      <left style="double">
        <color indexed="8"/>
      </left>
      <right style="medium">
        <color indexed="8"/>
      </right>
      <top style="medium">
        <color indexed="8"/>
      </top>
      <bottom style="medium">
        <color indexed="8"/>
      </bottom>
      <diagonal/>
    </border>
    <border>
      <left/>
      <right style="thin">
        <color indexed="64"/>
      </right>
      <top style="thin">
        <color indexed="64"/>
      </top>
      <bottom style="thin">
        <color indexed="64"/>
      </bottom>
      <diagonal/>
    </border>
    <border>
      <left style="medium">
        <color indexed="64"/>
      </left>
      <right style="thin">
        <color indexed="8"/>
      </right>
      <top style="thin">
        <color indexed="8"/>
      </top>
      <bottom style="thin">
        <color indexed="8"/>
      </bottom>
      <diagonal/>
    </border>
    <border>
      <left style="double">
        <color indexed="8"/>
      </left>
      <right style="thick">
        <color indexed="8"/>
      </right>
      <top style="thin">
        <color indexed="8"/>
      </top>
      <bottom/>
      <diagonal/>
    </border>
    <border>
      <left style="double">
        <color indexed="8"/>
      </left>
      <right style="thick">
        <color indexed="8"/>
      </right>
      <top/>
      <bottom/>
      <diagonal/>
    </border>
    <border>
      <left style="double">
        <color indexed="8"/>
      </left>
      <right style="thin">
        <color indexed="8"/>
      </right>
      <top style="thin">
        <color indexed="8"/>
      </top>
      <bottom style="thin">
        <color indexed="64"/>
      </bottom>
      <diagonal/>
    </border>
    <border>
      <left style="double">
        <color indexed="8"/>
      </left>
      <right style="thin">
        <color indexed="8"/>
      </right>
      <top/>
      <bottom style="thick">
        <color indexed="8"/>
      </bottom>
      <diagonal/>
    </border>
    <border>
      <left style="double">
        <color indexed="8"/>
      </left>
      <right/>
      <top style="medium">
        <color indexed="8"/>
      </top>
      <bottom style="medium">
        <color indexed="8"/>
      </bottom>
      <diagonal/>
    </border>
    <border>
      <left style="double">
        <color indexed="8"/>
      </left>
      <right style="thin">
        <color indexed="8"/>
      </right>
      <top style="thin">
        <color indexed="8"/>
      </top>
      <bottom style="medium">
        <color indexed="64"/>
      </bottom>
      <diagonal/>
    </border>
    <border>
      <left style="thin">
        <color indexed="8"/>
      </left>
      <right style="double">
        <color indexed="8"/>
      </right>
      <top/>
      <bottom style="thick">
        <color indexed="8"/>
      </bottom>
      <diagonal/>
    </border>
    <border>
      <left style="thin">
        <color indexed="8"/>
      </left>
      <right style="double">
        <color indexed="8"/>
      </right>
      <top style="thin">
        <color indexed="8"/>
      </top>
      <bottom/>
      <diagonal/>
    </border>
    <border>
      <left style="thick">
        <color indexed="8"/>
      </left>
      <right/>
      <top style="thin">
        <color indexed="8"/>
      </top>
      <bottom/>
      <diagonal/>
    </border>
    <border>
      <left/>
      <right/>
      <top style="medium">
        <color indexed="8"/>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8"/>
      </right>
      <top/>
      <bottom/>
      <diagonal/>
    </border>
    <border>
      <left style="thin">
        <color indexed="8"/>
      </left>
      <right style="medium">
        <color indexed="64"/>
      </right>
      <top style="medium">
        <color indexed="64"/>
      </top>
      <bottom/>
      <diagonal/>
    </border>
    <border>
      <left style="thin">
        <color indexed="8"/>
      </left>
      <right style="thin">
        <color indexed="8"/>
      </right>
      <top style="medium">
        <color indexed="8"/>
      </top>
      <bottom style="medium">
        <color indexed="64"/>
      </bottom>
      <diagonal/>
    </border>
    <border>
      <left style="thin">
        <color indexed="64"/>
      </left>
      <right style="thin">
        <color indexed="64"/>
      </right>
      <top style="medium">
        <color indexed="64"/>
      </top>
      <bottom/>
      <diagonal/>
    </border>
    <border>
      <left style="double">
        <color indexed="8"/>
      </left>
      <right style="hair">
        <color indexed="8"/>
      </right>
      <top style="medium">
        <color indexed="8"/>
      </top>
      <bottom/>
      <diagonal/>
    </border>
    <border>
      <left style="hair">
        <color indexed="8"/>
      </left>
      <right style="hair">
        <color indexed="8"/>
      </right>
      <top style="medium">
        <color indexed="8"/>
      </top>
      <bottom/>
      <diagonal/>
    </border>
    <border>
      <left style="hair">
        <color indexed="8"/>
      </left>
      <right style="double">
        <color indexed="8"/>
      </right>
      <top style="medium">
        <color indexed="8"/>
      </top>
      <bottom/>
      <diagonal/>
    </border>
    <border>
      <left style="double">
        <color indexed="8"/>
      </left>
      <right style="hair">
        <color indexed="8"/>
      </right>
      <top style="medium">
        <color indexed="8"/>
      </top>
      <bottom style="hair">
        <color indexed="8"/>
      </bottom>
      <diagonal/>
    </border>
    <border>
      <left style="hair">
        <color indexed="8"/>
      </left>
      <right style="hair">
        <color indexed="8"/>
      </right>
      <top style="medium">
        <color indexed="8"/>
      </top>
      <bottom style="hair">
        <color indexed="8"/>
      </bottom>
      <diagonal/>
    </border>
    <border>
      <left style="double">
        <color indexed="8"/>
      </left>
      <right style="hair">
        <color indexed="8"/>
      </right>
      <top/>
      <bottom style="thin">
        <color indexed="64"/>
      </bottom>
      <diagonal/>
    </border>
    <border>
      <left style="hair">
        <color indexed="8"/>
      </left>
      <right style="hair">
        <color indexed="8"/>
      </right>
      <top/>
      <bottom style="thin">
        <color indexed="64"/>
      </bottom>
      <diagonal/>
    </border>
    <border>
      <left style="hair">
        <color indexed="8"/>
      </left>
      <right style="double">
        <color indexed="8"/>
      </right>
      <top/>
      <bottom style="thin">
        <color indexed="64"/>
      </bottom>
      <diagonal/>
    </border>
    <border>
      <left/>
      <right style="hair">
        <color indexed="8"/>
      </right>
      <top style="hair">
        <color indexed="8"/>
      </top>
      <bottom style="medium">
        <color indexed="8"/>
      </bottom>
      <diagonal/>
    </border>
    <border>
      <left style="hair">
        <color indexed="8"/>
      </left>
      <right style="hair">
        <color indexed="8"/>
      </right>
      <top style="hair">
        <color indexed="8"/>
      </top>
      <bottom style="medium">
        <color indexed="8"/>
      </bottom>
      <diagonal/>
    </border>
    <border>
      <left style="hair">
        <color indexed="8"/>
      </left>
      <right style="medium">
        <color indexed="64"/>
      </right>
      <top style="medium">
        <color indexed="8"/>
      </top>
      <bottom style="hair">
        <color indexed="8"/>
      </bottom>
      <diagonal/>
    </border>
    <border>
      <left style="hair">
        <color indexed="8"/>
      </left>
      <right style="medium">
        <color indexed="64"/>
      </right>
      <top style="hair">
        <color indexed="8"/>
      </top>
      <bottom style="medium">
        <color indexed="8"/>
      </bottom>
      <diagonal/>
    </border>
    <border>
      <left style="medium">
        <color indexed="64"/>
      </left>
      <right style="thin">
        <color indexed="8"/>
      </right>
      <top/>
      <bottom style="medium">
        <color indexed="8"/>
      </bottom>
      <diagonal/>
    </border>
    <border>
      <left style="medium">
        <color indexed="64"/>
      </left>
      <right/>
      <top style="thin">
        <color indexed="8"/>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medium">
        <color indexed="8"/>
      </top>
      <bottom style="thin">
        <color indexed="8"/>
      </bottom>
      <diagonal/>
    </border>
    <border>
      <left/>
      <right style="thin">
        <color indexed="8"/>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style="thin">
        <color indexed="8"/>
      </right>
      <top style="thin">
        <color indexed="8"/>
      </top>
      <bottom style="medium">
        <color indexed="64"/>
      </bottom>
      <diagonal/>
    </border>
    <border>
      <left style="thin">
        <color indexed="8"/>
      </left>
      <right style="double">
        <color indexed="8"/>
      </right>
      <top style="thin">
        <color indexed="8"/>
      </top>
      <bottom style="medium">
        <color indexed="64"/>
      </bottom>
      <diagonal/>
    </border>
    <border>
      <left style="thick">
        <color indexed="8"/>
      </left>
      <right/>
      <top/>
      <bottom style="thin">
        <color indexed="8"/>
      </bottom>
      <diagonal/>
    </border>
    <border>
      <left/>
      <right/>
      <top style="thin">
        <color indexed="8"/>
      </top>
      <bottom style="thin">
        <color indexed="64"/>
      </bottom>
      <diagonal/>
    </border>
    <border>
      <left style="thick">
        <color indexed="8"/>
      </left>
      <right/>
      <top style="thick">
        <color indexed="8"/>
      </top>
      <bottom style="thin">
        <color indexed="8"/>
      </bottom>
      <diagonal/>
    </border>
    <border>
      <left/>
      <right style="double">
        <color indexed="8"/>
      </right>
      <top style="thick">
        <color indexed="8"/>
      </top>
      <bottom style="thin">
        <color indexed="8"/>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s>
  <cellStyleXfs count="8">
    <xf numFmtId="0" fontId="0" fillId="0" borderId="0"/>
    <xf numFmtId="43" fontId="1" fillId="0" borderId="0" applyFont="0" applyFill="0" applyBorder="0" applyAlignment="0" applyProtection="0"/>
    <xf numFmtId="0" fontId="62" fillId="0" borderId="0" applyNumberFormat="0" applyFill="0" applyBorder="0" applyAlignment="0" applyProtection="0">
      <alignment vertical="top"/>
      <protection locked="0"/>
    </xf>
    <xf numFmtId="0" fontId="79" fillId="0" borderId="0"/>
    <xf numFmtId="9" fontId="1" fillId="0" borderId="0" applyFont="0" applyFill="0" applyBorder="0" applyAlignment="0" applyProtection="0"/>
    <xf numFmtId="0" fontId="105" fillId="0" borderId="0"/>
    <xf numFmtId="0" fontId="62" fillId="0" borderId="0" applyNumberFormat="0" applyFill="0" applyBorder="0" applyAlignment="0" applyProtection="0">
      <alignment vertical="top"/>
      <protection locked="0"/>
    </xf>
    <xf numFmtId="0" fontId="37" fillId="0" borderId="0"/>
  </cellStyleXfs>
  <cellXfs count="1168">
    <xf numFmtId="0" fontId="0" fillId="0" borderId="0" xfId="0"/>
    <xf numFmtId="164" fontId="2" fillId="0" borderId="0" xfId="0" applyNumberFormat="1" applyFont="1" applyProtection="1"/>
    <xf numFmtId="37" fontId="0" fillId="0" borderId="0" xfId="0" applyNumberFormat="1" applyProtection="1"/>
    <xf numFmtId="0" fontId="7" fillId="0" borderId="0" xfId="0" applyFont="1"/>
    <xf numFmtId="0" fontId="8" fillId="0" borderId="0" xfId="0" applyFont="1"/>
    <xf numFmtId="0" fontId="9" fillId="0" borderId="0" xfId="0" applyFont="1"/>
    <xf numFmtId="0" fontId="10" fillId="0" borderId="0" xfId="0" applyFont="1"/>
    <xf numFmtId="0" fontId="11" fillId="0" borderId="0" xfId="0" applyFont="1"/>
    <xf numFmtId="0" fontId="12" fillId="0" borderId="0" xfId="0" applyFont="1"/>
    <xf numFmtId="165" fontId="0" fillId="0" borderId="0" xfId="0" applyNumberFormat="1" applyProtection="1"/>
    <xf numFmtId="166" fontId="0" fillId="0" borderId="0" xfId="0" applyNumberFormat="1" applyProtection="1"/>
    <xf numFmtId="167" fontId="0" fillId="0" borderId="0" xfId="0" applyNumberFormat="1" applyProtection="1"/>
    <xf numFmtId="0" fontId="0" fillId="0" borderId="0" xfId="0" applyAlignment="1">
      <alignment vertical="center"/>
    </xf>
    <xf numFmtId="0" fontId="0" fillId="0" borderId="0" xfId="0" applyAlignment="1">
      <alignment horizontal="center"/>
    </xf>
    <xf numFmtId="0" fontId="0" fillId="0" borderId="0" xfId="0" applyAlignment="1">
      <alignment horizontal="left"/>
    </xf>
    <xf numFmtId="0" fontId="2" fillId="0" borderId="0" xfId="0" applyFont="1"/>
    <xf numFmtId="0" fontId="0" fillId="0" borderId="1" xfId="0" applyBorder="1"/>
    <xf numFmtId="0" fontId="0" fillId="0" borderId="2" xfId="0" applyBorder="1"/>
    <xf numFmtId="0" fontId="0" fillId="0" borderId="3" xfId="0" applyBorder="1"/>
    <xf numFmtId="0" fontId="14" fillId="0" borderId="4" xfId="0" applyFont="1" applyBorder="1" applyAlignment="1">
      <alignment horizontal="center"/>
    </xf>
    <xf numFmtId="168" fontId="0" fillId="0" borderId="0" xfId="0" applyNumberFormat="1" applyProtection="1"/>
    <xf numFmtId="0" fontId="15" fillId="0" borderId="4" xfId="0" applyFont="1" applyBorder="1" applyAlignment="1">
      <alignment horizontal="center"/>
    </xf>
    <xf numFmtId="0" fontId="14" fillId="2" borderId="5" xfId="0" applyFont="1" applyFill="1" applyBorder="1" applyAlignment="1">
      <alignment horizontal="left"/>
    </xf>
    <xf numFmtId="0" fontId="0" fillId="0" borderId="6" xfId="0" applyBorder="1"/>
    <xf numFmtId="0" fontId="16" fillId="2" borderId="7" xfId="0" applyFont="1" applyFill="1" applyBorder="1"/>
    <xf numFmtId="0" fontId="14" fillId="2" borderId="6" xfId="0" applyFont="1" applyFill="1" applyBorder="1" applyAlignment="1">
      <alignment horizontal="left"/>
    </xf>
    <xf numFmtId="0" fontId="0" fillId="0" borderId="8" xfId="0" applyBorder="1"/>
    <xf numFmtId="0" fontId="0" fillId="0" borderId="9" xfId="0" applyBorder="1"/>
    <xf numFmtId="0" fontId="14" fillId="0" borderId="0" xfId="0" applyFont="1"/>
    <xf numFmtId="167" fontId="14" fillId="0" borderId="0" xfId="0" applyNumberFormat="1" applyFont="1" applyProtection="1"/>
    <xf numFmtId="165" fontId="14" fillId="0" borderId="0" xfId="0" applyNumberFormat="1" applyFont="1" applyProtection="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5" xfId="0" applyBorder="1"/>
    <xf numFmtId="0" fontId="10" fillId="0" borderId="15" xfId="0" applyFont="1" applyBorder="1"/>
    <xf numFmtId="0" fontId="10" fillId="0" borderId="10" xfId="0" applyFont="1" applyBorder="1"/>
    <xf numFmtId="0" fontId="0" fillId="0" borderId="5" xfId="0" applyBorder="1" applyAlignment="1">
      <alignment horizontal="left"/>
    </xf>
    <xf numFmtId="0" fontId="0" fillId="0" borderId="10" xfId="0" applyBorder="1" applyAlignment="1">
      <alignment horizontal="center"/>
    </xf>
    <xf numFmtId="0" fontId="0" fillId="0" borderId="10" xfId="0" applyBorder="1" applyAlignment="1">
      <alignment horizontal="centerContinuous"/>
    </xf>
    <xf numFmtId="0" fontId="0" fillId="0" borderId="16" xfId="0" applyBorder="1"/>
    <xf numFmtId="0" fontId="0" fillId="0" borderId="8" xfId="0" applyBorder="1" applyAlignment="1">
      <alignment horizontal="left"/>
    </xf>
    <xf numFmtId="0" fontId="0" fillId="0" borderId="16" xfId="0" applyBorder="1" applyAlignment="1">
      <alignment horizontal="center"/>
    </xf>
    <xf numFmtId="0" fontId="0" fillId="0" borderId="16" xfId="0" applyBorder="1" applyAlignment="1">
      <alignment horizontal="centerContinuous"/>
    </xf>
    <xf numFmtId="0" fontId="0" fillId="0" borderId="17" xfId="0" applyBorder="1"/>
    <xf numFmtId="0" fontId="0" fillId="0" borderId="18" xfId="0" applyBorder="1"/>
    <xf numFmtId="0" fontId="0" fillId="0" borderId="6" xfId="0" applyBorder="1" applyAlignment="1">
      <alignment horizontal="left"/>
    </xf>
    <xf numFmtId="0" fontId="0" fillId="0" borderId="19" xfId="0" applyBorder="1"/>
    <xf numFmtId="0" fontId="10" fillId="0" borderId="16" xfId="0" applyFont="1" applyBorder="1"/>
    <xf numFmtId="0" fontId="6" fillId="0" borderId="6" xfId="0" applyFont="1" applyBorder="1" applyAlignment="1">
      <alignment horizontal="left"/>
    </xf>
    <xf numFmtId="37" fontId="18" fillId="0" borderId="20" xfId="0" applyNumberFormat="1" applyFont="1" applyBorder="1" applyProtection="1"/>
    <xf numFmtId="0" fontId="18" fillId="0" borderId="14" xfId="0" applyFont="1" applyBorder="1"/>
    <xf numFmtId="0" fontId="0" fillId="0" borderId="0" xfId="0" applyAlignment="1">
      <alignment horizontal="right"/>
    </xf>
    <xf numFmtId="37" fontId="18" fillId="0" borderId="14" xfId="0" applyNumberFormat="1" applyFont="1" applyBorder="1" applyProtection="1"/>
    <xf numFmtId="0" fontId="0" fillId="0" borderId="0" xfId="0" applyAlignment="1">
      <alignment horizontal="centerContinuous"/>
    </xf>
    <xf numFmtId="0" fontId="0" fillId="0" borderId="13" xfId="0" applyBorder="1" applyAlignment="1">
      <alignment horizontal="centerContinuous"/>
    </xf>
    <xf numFmtId="0" fontId="0" fillId="0" borderId="5" xfId="0" applyBorder="1" applyAlignment="1">
      <alignment horizontal="center"/>
    </xf>
    <xf numFmtId="0" fontId="14" fillId="0" borderId="8" xfId="0" applyFont="1" applyBorder="1"/>
    <xf numFmtId="0" fontId="20" fillId="0" borderId="0" xfId="0" applyFont="1"/>
    <xf numFmtId="37" fontId="0" fillId="0" borderId="22" xfId="0" applyNumberFormat="1" applyBorder="1" applyAlignment="1" applyProtection="1">
      <alignment horizontal="left"/>
    </xf>
    <xf numFmtId="0" fontId="0" fillId="0" borderId="22" xfId="0" applyBorder="1" applyAlignment="1">
      <alignment horizontal="left"/>
    </xf>
    <xf numFmtId="0" fontId="13" fillId="0" borderId="23" xfId="0" applyFont="1" applyBorder="1"/>
    <xf numFmtId="0" fontId="10" fillId="0" borderId="24" xfId="0" applyFont="1" applyBorder="1"/>
    <xf numFmtId="0" fontId="0" fillId="0" borderId="24" xfId="0" applyBorder="1"/>
    <xf numFmtId="0" fontId="0" fillId="0" borderId="25" xfId="0" applyBorder="1"/>
    <xf numFmtId="0" fontId="10" fillId="0" borderId="26" xfId="0" applyFont="1" applyBorder="1"/>
    <xf numFmtId="37" fontId="18" fillId="0" borderId="0" xfId="0" applyNumberFormat="1" applyFont="1" applyProtection="1"/>
    <xf numFmtId="0" fontId="10" fillId="0" borderId="0" xfId="0" applyFont="1" applyAlignment="1">
      <alignment horizontal="left"/>
    </xf>
    <xf numFmtId="0" fontId="0" fillId="0" borderId="0" xfId="0" applyProtection="1"/>
    <xf numFmtId="0" fontId="24" fillId="0" borderId="6" xfId="0" applyFont="1" applyBorder="1" applyAlignment="1" applyProtection="1">
      <alignment horizontal="left"/>
    </xf>
    <xf numFmtId="0" fontId="0" fillId="0" borderId="0" xfId="0" applyAlignment="1" applyProtection="1">
      <alignment horizontal="right"/>
    </xf>
    <xf numFmtId="0" fontId="0" fillId="0" borderId="27" xfId="0" applyBorder="1" applyProtection="1"/>
    <xf numFmtId="0" fontId="0" fillId="0" borderId="28" xfId="0" applyBorder="1" applyAlignment="1" applyProtection="1">
      <alignment horizontal="center"/>
    </xf>
    <xf numFmtId="0" fontId="0" fillId="0" borderId="5" xfId="0" applyBorder="1" applyProtection="1"/>
    <xf numFmtId="0" fontId="0" fillId="0" borderId="27" xfId="0" applyBorder="1" applyAlignment="1" applyProtection="1">
      <alignment horizontal="center"/>
    </xf>
    <xf numFmtId="165" fontId="0" fillId="0" borderId="28" xfId="0" applyNumberFormat="1" applyBorder="1" applyAlignment="1" applyProtection="1">
      <alignment horizontal="center"/>
    </xf>
    <xf numFmtId="0" fontId="0" fillId="0" borderId="8" xfId="0" applyBorder="1" applyProtection="1"/>
    <xf numFmtId="0" fontId="0" fillId="0" borderId="5" xfId="0" applyBorder="1" applyAlignment="1" applyProtection="1">
      <alignment horizontal="center"/>
    </xf>
    <xf numFmtId="165" fontId="0" fillId="0" borderId="17" xfId="0" applyNumberFormat="1" applyBorder="1" applyAlignment="1" applyProtection="1">
      <alignment horizontal="center"/>
    </xf>
    <xf numFmtId="0" fontId="0" fillId="0" borderId="6" xfId="0" applyBorder="1" applyAlignment="1" applyProtection="1">
      <alignment horizontal="center"/>
    </xf>
    <xf numFmtId="165" fontId="0" fillId="0" borderId="18" xfId="0" applyNumberFormat="1" applyBorder="1" applyAlignment="1" applyProtection="1">
      <alignment horizontal="center"/>
    </xf>
    <xf numFmtId="0" fontId="0" fillId="0" borderId="4" xfId="0" applyBorder="1" applyProtection="1"/>
    <xf numFmtId="0" fontId="0" fillId="0" borderId="7" xfId="0" applyBorder="1" applyAlignment="1" applyProtection="1">
      <alignment horizontal="center"/>
    </xf>
    <xf numFmtId="0" fontId="0" fillId="0" borderId="4" xfId="0" applyBorder="1" applyAlignment="1" applyProtection="1">
      <alignment horizontal="right"/>
    </xf>
    <xf numFmtId="0" fontId="0" fillId="0" borderId="9" xfId="0" applyBorder="1" applyAlignment="1" applyProtection="1">
      <alignment horizontal="center"/>
    </xf>
    <xf numFmtId="0" fontId="0" fillId="0" borderId="5" xfId="0" applyBorder="1" applyAlignment="1" applyProtection="1">
      <alignment horizontal="centerContinuous"/>
    </xf>
    <xf numFmtId="0" fontId="0" fillId="0" borderId="17" xfId="0" applyBorder="1" applyAlignment="1" applyProtection="1">
      <alignment horizontal="centerContinuous"/>
    </xf>
    <xf numFmtId="0" fontId="0" fillId="0" borderId="4" xfId="0" applyBorder="1" applyAlignment="1" applyProtection="1">
      <alignment horizontal="center"/>
    </xf>
    <xf numFmtId="0" fontId="0" fillId="0" borderId="0" xfId="0" applyAlignment="1" applyProtection="1">
      <alignment horizontal="center"/>
    </xf>
    <xf numFmtId="0" fontId="0" fillId="0" borderId="22" xfId="0" applyBorder="1" applyAlignment="1" applyProtection="1">
      <alignment horizontal="center"/>
    </xf>
    <xf numFmtId="0" fontId="0" fillId="0" borderId="5" xfId="0" applyBorder="1" applyAlignment="1" applyProtection="1">
      <alignment horizontal="right"/>
    </xf>
    <xf numFmtId="0" fontId="0" fillId="0" borderId="10" xfId="0" applyBorder="1" applyAlignment="1" applyProtection="1">
      <alignment horizontal="center"/>
    </xf>
    <xf numFmtId="0" fontId="0" fillId="0" borderId="10" xfId="0" applyBorder="1" applyAlignment="1" applyProtection="1">
      <alignment horizontal="right"/>
    </xf>
    <xf numFmtId="167" fontId="0" fillId="0" borderId="17" xfId="0" applyNumberFormat="1" applyBorder="1" applyAlignment="1" applyProtection="1">
      <alignment horizontal="center"/>
    </xf>
    <xf numFmtId="0" fontId="0" fillId="0" borderId="17" xfId="0" applyBorder="1" applyAlignment="1" applyProtection="1">
      <alignment horizontal="center"/>
    </xf>
    <xf numFmtId="169" fontId="0" fillId="0" borderId="0" xfId="0" applyNumberFormat="1" applyProtection="1"/>
    <xf numFmtId="0" fontId="0" fillId="0" borderId="7" xfId="0" applyBorder="1" applyProtection="1"/>
    <xf numFmtId="169" fontId="0" fillId="0" borderId="0" xfId="0" applyNumberFormat="1" applyAlignment="1" applyProtection="1">
      <alignment horizontal="right"/>
    </xf>
    <xf numFmtId="0" fontId="0" fillId="0" borderId="7" xfId="0" applyBorder="1" applyAlignment="1">
      <alignment horizontal="center"/>
    </xf>
    <xf numFmtId="0" fontId="0" fillId="0" borderId="6" xfId="0" applyBorder="1" applyAlignment="1" applyProtection="1">
      <alignment horizontal="right"/>
    </xf>
    <xf numFmtId="10" fontId="0" fillId="0" borderId="18" xfId="0" applyNumberFormat="1" applyBorder="1" applyProtection="1"/>
    <xf numFmtId="0" fontId="0" fillId="0" borderId="6" xfId="0" applyBorder="1" applyProtection="1"/>
    <xf numFmtId="0" fontId="0" fillId="0" borderId="8" xfId="0" applyBorder="1" applyAlignment="1" applyProtection="1">
      <alignment horizontal="left"/>
    </xf>
    <xf numFmtId="37" fontId="0" fillId="0" borderId="16" xfId="0" applyNumberFormat="1" applyBorder="1" applyProtection="1"/>
    <xf numFmtId="10" fontId="0" fillId="0" borderId="19" xfId="0" applyNumberFormat="1" applyBorder="1" applyProtection="1"/>
    <xf numFmtId="0" fontId="0" fillId="0" borderId="9" xfId="0" applyBorder="1" applyProtection="1"/>
    <xf numFmtId="0" fontId="0" fillId="0" borderId="8" xfId="0" applyBorder="1" applyAlignment="1" applyProtection="1">
      <alignment horizontal="right"/>
    </xf>
    <xf numFmtId="0" fontId="0" fillId="0" borderId="16" xfId="0" applyBorder="1" applyProtection="1"/>
    <xf numFmtId="166" fontId="0" fillId="0" borderId="19" xfId="0" applyNumberFormat="1" applyBorder="1" applyProtection="1"/>
    <xf numFmtId="0" fontId="0" fillId="0" borderId="8" xfId="0" applyBorder="1" applyAlignment="1" applyProtection="1">
      <alignment horizontal="center"/>
    </xf>
    <xf numFmtId="165" fontId="0" fillId="0" borderId="19" xfId="0" applyNumberFormat="1" applyBorder="1" applyAlignment="1" applyProtection="1">
      <alignment horizontal="center"/>
    </xf>
    <xf numFmtId="0" fontId="26" fillId="0" borderId="0" xfId="0" applyFont="1" applyProtection="1"/>
    <xf numFmtId="0" fontId="0" fillId="0" borderId="28" xfId="0" applyBorder="1" applyProtection="1"/>
    <xf numFmtId="0" fontId="0" fillId="0" borderId="29" xfId="0" applyBorder="1" applyProtection="1"/>
    <xf numFmtId="170" fontId="0" fillId="0" borderId="0" xfId="0" applyNumberFormat="1" applyProtection="1"/>
    <xf numFmtId="0" fontId="0" fillId="0" borderId="17" xfId="0" applyBorder="1" applyAlignment="1">
      <alignment horizontal="center"/>
    </xf>
    <xf numFmtId="0" fontId="0" fillId="0" borderId="15" xfId="0" applyBorder="1"/>
    <xf numFmtId="0" fontId="0" fillId="0" borderId="29" xfId="0" applyBorder="1"/>
    <xf numFmtId="0" fontId="0" fillId="0" borderId="30" xfId="0" applyBorder="1"/>
    <xf numFmtId="0" fontId="0" fillId="0" borderId="27" xfId="0" applyBorder="1"/>
    <xf numFmtId="0" fontId="0" fillId="0" borderId="4" xfId="0" applyBorder="1" applyAlignment="1">
      <alignment horizontal="center"/>
    </xf>
    <xf numFmtId="0" fontId="0" fillId="0" borderId="4" xfId="0" applyBorder="1"/>
    <xf numFmtId="0" fontId="0" fillId="0" borderId="31" xfId="0" applyBorder="1"/>
    <xf numFmtId="0" fontId="0" fillId="0" borderId="9" xfId="0" applyBorder="1" applyAlignment="1">
      <alignment horizontal="center"/>
    </xf>
    <xf numFmtId="0" fontId="0" fillId="0" borderId="28" xfId="0" applyBorder="1"/>
    <xf numFmtId="171" fontId="0" fillId="0" borderId="0" xfId="0" applyNumberFormat="1" applyProtection="1"/>
    <xf numFmtId="171" fontId="0" fillId="0" borderId="18" xfId="0" applyNumberFormat="1" applyBorder="1" applyProtection="1"/>
    <xf numFmtId="37" fontId="25" fillId="0" borderId="0" xfId="0" applyNumberFormat="1" applyFont="1" applyProtection="1"/>
    <xf numFmtId="37" fontId="3" fillId="0" borderId="0" xfId="0" applyNumberFormat="1" applyFont="1" applyProtection="1"/>
    <xf numFmtId="171" fontId="0" fillId="0" borderId="10" xfId="0" applyNumberFormat="1" applyBorder="1" applyProtection="1"/>
    <xf numFmtId="37" fontId="0" fillId="0" borderId="7" xfId="0" applyNumberFormat="1" applyBorder="1" applyProtection="1"/>
    <xf numFmtId="171" fontId="0" fillId="0" borderId="4" xfId="0" applyNumberFormat="1" applyBorder="1" applyProtection="1"/>
    <xf numFmtId="0" fontId="2" fillId="0" borderId="6" xfId="0" applyFont="1" applyBorder="1"/>
    <xf numFmtId="37" fontId="2" fillId="0" borderId="6" xfId="0" applyNumberFormat="1" applyFont="1" applyBorder="1" applyProtection="1"/>
    <xf numFmtId="37" fontId="2" fillId="0" borderId="7" xfId="0" applyNumberFormat="1" applyFont="1" applyBorder="1" applyProtection="1"/>
    <xf numFmtId="37" fontId="0" fillId="0" borderId="0" xfId="0" applyNumberFormat="1" applyAlignment="1" applyProtection="1">
      <alignment horizontal="center"/>
    </xf>
    <xf numFmtId="37" fontId="2" fillId="0" borderId="0" xfId="0" applyNumberFormat="1" applyFont="1" applyProtection="1"/>
    <xf numFmtId="0" fontId="0" fillId="0" borderId="7" xfId="0" applyBorder="1"/>
    <xf numFmtId="37" fontId="12" fillId="0" borderId="16" xfId="0" applyNumberFormat="1" applyFont="1" applyBorder="1" applyProtection="1"/>
    <xf numFmtId="171" fontId="0" fillId="0" borderId="16" xfId="0" applyNumberFormat="1" applyBorder="1" applyProtection="1"/>
    <xf numFmtId="37" fontId="2" fillId="0" borderId="16" xfId="0" applyNumberFormat="1" applyFont="1" applyBorder="1" applyProtection="1"/>
    <xf numFmtId="37" fontId="2" fillId="0" borderId="9" xfId="0" applyNumberFormat="1" applyFont="1" applyBorder="1" applyProtection="1"/>
    <xf numFmtId="37" fontId="2" fillId="0" borderId="8" xfId="0" applyNumberFormat="1" applyFont="1" applyBorder="1" applyProtection="1"/>
    <xf numFmtId="166" fontId="0" fillId="0" borderId="10" xfId="0" applyNumberFormat="1" applyBorder="1" applyProtection="1"/>
    <xf numFmtId="166" fontId="2" fillId="0" borderId="0" xfId="0" applyNumberFormat="1" applyFont="1" applyProtection="1"/>
    <xf numFmtId="174" fontId="0" fillId="0" borderId="0" xfId="0" applyNumberFormat="1" applyProtection="1"/>
    <xf numFmtId="0" fontId="27" fillId="0" borderId="0" xfId="0" applyFont="1"/>
    <xf numFmtId="171" fontId="27" fillId="0" borderId="0" xfId="0" applyNumberFormat="1" applyFont="1" applyProtection="1"/>
    <xf numFmtId="37" fontId="0" fillId="0" borderId="27" xfId="0" applyNumberFormat="1" applyBorder="1" applyProtection="1"/>
    <xf numFmtId="171" fontId="0" fillId="0" borderId="28" xfId="0" applyNumberFormat="1" applyBorder="1" applyProtection="1"/>
    <xf numFmtId="171" fontId="0" fillId="0" borderId="29" xfId="0" applyNumberFormat="1" applyBorder="1" applyProtection="1"/>
    <xf numFmtId="173" fontId="0" fillId="0" borderId="29" xfId="0" applyNumberFormat="1" applyBorder="1" applyProtection="1"/>
    <xf numFmtId="174" fontId="0" fillId="0" borderId="29" xfId="0" applyNumberFormat="1" applyBorder="1" applyProtection="1"/>
    <xf numFmtId="165" fontId="0" fillId="0" borderId="28" xfId="0" applyNumberFormat="1" applyBorder="1" applyProtection="1"/>
    <xf numFmtId="165" fontId="0" fillId="0" borderId="29" xfId="0" applyNumberFormat="1" applyBorder="1" applyProtection="1"/>
    <xf numFmtId="37" fontId="0" fillId="0" borderId="29" xfId="0" applyNumberFormat="1" applyBorder="1" applyProtection="1"/>
    <xf numFmtId="0" fontId="0" fillId="0" borderId="27" xfId="0" applyBorder="1" applyAlignment="1">
      <alignment horizontal="centerContinuous"/>
    </xf>
    <xf numFmtId="0" fontId="0" fillId="0" borderId="28" xfId="0" applyBorder="1" applyAlignment="1">
      <alignment horizontal="centerContinuous"/>
    </xf>
    <xf numFmtId="173" fontId="0" fillId="0" borderId="4" xfId="0" applyNumberFormat="1" applyBorder="1" applyProtection="1"/>
    <xf numFmtId="165" fontId="0" fillId="0" borderId="4" xfId="0" applyNumberFormat="1" applyBorder="1" applyProtection="1"/>
    <xf numFmtId="37" fontId="0" fillId="0" borderId="4" xfId="0" applyNumberFormat="1" applyBorder="1" applyProtection="1"/>
    <xf numFmtId="37" fontId="27" fillId="0" borderId="9" xfId="0" applyNumberFormat="1" applyFont="1" applyBorder="1" applyAlignment="1" applyProtection="1">
      <alignment horizontal="center"/>
    </xf>
    <xf numFmtId="0" fontId="0" fillId="0" borderId="22" xfId="0" applyBorder="1" applyAlignment="1">
      <alignment horizontal="center"/>
    </xf>
    <xf numFmtId="37" fontId="0" fillId="0" borderId="10" xfId="0" applyNumberFormat="1" applyBorder="1" applyProtection="1"/>
    <xf numFmtId="174" fontId="0" fillId="0" borderId="10" xfId="0" applyNumberFormat="1" applyBorder="1" applyProtection="1"/>
    <xf numFmtId="165" fontId="0" fillId="0" borderId="10" xfId="0" applyNumberFormat="1" applyBorder="1" applyProtection="1"/>
    <xf numFmtId="171" fontId="2" fillId="0" borderId="0" xfId="0" applyNumberFormat="1" applyFont="1" applyProtection="1"/>
    <xf numFmtId="167" fontId="0" fillId="0" borderId="18" xfId="0" applyNumberFormat="1" applyBorder="1" applyProtection="1"/>
    <xf numFmtId="166" fontId="0" fillId="0" borderId="7" xfId="0" applyNumberFormat="1" applyBorder="1" applyProtection="1"/>
    <xf numFmtId="171" fontId="2" fillId="0" borderId="0" xfId="0" applyNumberFormat="1" applyFont="1" applyFill="1" applyProtection="1"/>
    <xf numFmtId="37" fontId="12" fillId="0" borderId="0" xfId="0" applyNumberFormat="1" applyFont="1" applyProtection="1"/>
    <xf numFmtId="174" fontId="0" fillId="0" borderId="16" xfId="0" applyNumberFormat="1" applyBorder="1" applyProtection="1"/>
    <xf numFmtId="165" fontId="0" fillId="0" borderId="16" xfId="0" applyNumberFormat="1" applyBorder="1" applyProtection="1"/>
    <xf numFmtId="37" fontId="0" fillId="0" borderId="9" xfId="0" applyNumberFormat="1" applyBorder="1" applyProtection="1"/>
    <xf numFmtId="37" fontId="0" fillId="0" borderId="6" xfId="0" applyNumberFormat="1" applyBorder="1" applyProtection="1"/>
    <xf numFmtId="174" fontId="0" fillId="0" borderId="28" xfId="0" applyNumberFormat="1" applyBorder="1" applyProtection="1"/>
    <xf numFmtId="0" fontId="2" fillId="0" borderId="8" xfId="0" applyFont="1" applyBorder="1"/>
    <xf numFmtId="166" fontId="0" fillId="0" borderId="4" xfId="0" applyNumberFormat="1" applyBorder="1" applyProtection="1"/>
    <xf numFmtId="166" fontId="0" fillId="0" borderId="16" xfId="0" applyNumberFormat="1" applyBorder="1" applyProtection="1"/>
    <xf numFmtId="170" fontId="0" fillId="0" borderId="28" xfId="0" applyNumberFormat="1" applyBorder="1" applyProtection="1"/>
    <xf numFmtId="170" fontId="0" fillId="0" borderId="29" xfId="0" applyNumberFormat="1" applyBorder="1" applyProtection="1"/>
    <xf numFmtId="170" fontId="0" fillId="0" borderId="4" xfId="0" applyNumberFormat="1" applyBorder="1" applyProtection="1"/>
    <xf numFmtId="170" fontId="0" fillId="0" borderId="10" xfId="0" applyNumberFormat="1" applyBorder="1" applyProtection="1"/>
    <xf numFmtId="170" fontId="0" fillId="0" borderId="16" xfId="0" applyNumberFormat="1" applyBorder="1" applyProtection="1"/>
    <xf numFmtId="37" fontId="0" fillId="0" borderId="0" xfId="0" applyNumberFormat="1" applyAlignment="1" applyProtection="1">
      <alignment horizontal="right"/>
    </xf>
    <xf numFmtId="166" fontId="0" fillId="0" borderId="28" xfId="0" applyNumberFormat="1" applyBorder="1" applyProtection="1"/>
    <xf numFmtId="0" fontId="27" fillId="0" borderId="9" xfId="0" applyFont="1" applyBorder="1" applyAlignment="1">
      <alignment horizontal="center"/>
    </xf>
    <xf numFmtId="37" fontId="0" fillId="0" borderId="18" xfId="0" applyNumberFormat="1" applyBorder="1" applyProtection="1"/>
    <xf numFmtId="168" fontId="0" fillId="0" borderId="16" xfId="0" applyNumberFormat="1" applyBorder="1" applyProtection="1"/>
    <xf numFmtId="166" fontId="27" fillId="0" borderId="0" xfId="0" applyNumberFormat="1" applyFont="1" applyProtection="1"/>
    <xf numFmtId="166" fontId="0" fillId="0" borderId="29" xfId="0" applyNumberFormat="1" applyBorder="1" applyProtection="1"/>
    <xf numFmtId="0" fontId="29" fillId="0" borderId="0" xfId="0" applyFont="1"/>
    <xf numFmtId="165" fontId="0" fillId="0" borderId="5" xfId="0" applyNumberFormat="1" applyBorder="1" applyProtection="1"/>
    <xf numFmtId="165" fontId="0" fillId="0" borderId="17" xfId="0" applyNumberFormat="1" applyBorder="1" applyProtection="1"/>
    <xf numFmtId="165" fontId="0" fillId="0" borderId="6" xfId="0" applyNumberFormat="1" applyBorder="1" applyProtection="1"/>
    <xf numFmtId="165" fontId="0" fillId="0" borderId="18" xfId="0" applyNumberFormat="1" applyBorder="1" applyProtection="1"/>
    <xf numFmtId="165" fontId="0" fillId="0" borderId="8" xfId="0" applyNumberFormat="1" applyBorder="1" applyProtection="1"/>
    <xf numFmtId="165" fontId="0" fillId="0" borderId="19" xfId="0" applyNumberFormat="1" applyBorder="1" applyProtection="1"/>
    <xf numFmtId="0" fontId="10" fillId="0" borderId="22" xfId="0" applyFont="1" applyBorder="1" applyAlignment="1">
      <alignment horizontal="right"/>
    </xf>
    <xf numFmtId="0" fontId="0" fillId="0" borderId="29" xfId="0" applyBorder="1" applyAlignment="1">
      <alignment horizontal="right"/>
    </xf>
    <xf numFmtId="0" fontId="0" fillId="0" borderId="19" xfId="0" applyBorder="1" applyAlignment="1">
      <alignment horizontal="center"/>
    </xf>
    <xf numFmtId="0" fontId="0" fillId="0" borderId="29" xfId="0" applyBorder="1" applyAlignment="1">
      <alignment horizontal="center"/>
    </xf>
    <xf numFmtId="0" fontId="0" fillId="0" borderId="27" xfId="0" applyBorder="1" applyAlignment="1">
      <alignment horizontal="center"/>
    </xf>
    <xf numFmtId="37" fontId="0" fillId="0" borderId="22" xfId="0" applyNumberFormat="1" applyBorder="1" applyAlignment="1" applyProtection="1">
      <alignment horizontal="center"/>
    </xf>
    <xf numFmtId="37" fontId="27" fillId="0" borderId="4" xfId="0" applyNumberFormat="1" applyFont="1" applyBorder="1" applyAlignment="1" applyProtection="1">
      <alignment horizontal="center"/>
    </xf>
    <xf numFmtId="171" fontId="27" fillId="0" borderId="4" xfId="0" applyNumberFormat="1" applyFont="1" applyBorder="1" applyAlignment="1" applyProtection="1">
      <alignment horizontal="center"/>
    </xf>
    <xf numFmtId="174" fontId="27" fillId="0" borderId="4" xfId="0" applyNumberFormat="1" applyFont="1" applyBorder="1" applyAlignment="1" applyProtection="1">
      <alignment horizontal="center"/>
    </xf>
    <xf numFmtId="0" fontId="27" fillId="0" borderId="4" xfId="0" applyFont="1" applyBorder="1" applyAlignment="1">
      <alignment horizontal="center"/>
    </xf>
    <xf numFmtId="165" fontId="27" fillId="0" borderId="4" xfId="0" applyNumberFormat="1" applyFont="1" applyBorder="1" applyAlignment="1" applyProtection="1">
      <alignment horizontal="center"/>
    </xf>
    <xf numFmtId="171" fontId="0" fillId="0" borderId="4" xfId="0" applyNumberFormat="1" applyBorder="1" applyAlignment="1" applyProtection="1">
      <alignment horizontal="center"/>
    </xf>
    <xf numFmtId="37" fontId="0" fillId="0" borderId="4" xfId="0" applyNumberFormat="1" applyBorder="1" applyAlignment="1" applyProtection="1">
      <alignment horizontal="center"/>
    </xf>
    <xf numFmtId="174" fontId="0" fillId="0" borderId="4" xfId="0" applyNumberFormat="1" applyBorder="1" applyAlignment="1" applyProtection="1">
      <alignment horizontal="center"/>
    </xf>
    <xf numFmtId="171" fontId="27" fillId="0" borderId="9" xfId="0" applyNumberFormat="1" applyFont="1" applyBorder="1" applyAlignment="1" applyProtection="1">
      <alignment horizontal="center"/>
    </xf>
    <xf numFmtId="173" fontId="27" fillId="0" borderId="9" xfId="0" applyNumberFormat="1" applyFont="1" applyBorder="1" applyAlignment="1" applyProtection="1">
      <alignment horizontal="center"/>
    </xf>
    <xf numFmtId="174" fontId="27" fillId="0" borderId="9" xfId="0" applyNumberFormat="1" applyFont="1" applyBorder="1" applyAlignment="1" applyProtection="1">
      <alignment horizontal="center"/>
    </xf>
    <xf numFmtId="165" fontId="27" fillId="0" borderId="9" xfId="0" applyNumberFormat="1" applyFont="1" applyBorder="1" applyAlignment="1" applyProtection="1">
      <alignment horizontal="center"/>
    </xf>
    <xf numFmtId="165" fontId="0" fillId="0" borderId="0" xfId="0" applyNumberFormat="1" applyAlignment="1" applyProtection="1">
      <alignment horizontal="right"/>
    </xf>
    <xf numFmtId="171" fontId="0" fillId="0" borderId="0" xfId="0" applyNumberFormat="1" applyAlignment="1" applyProtection="1">
      <alignment horizontal="right"/>
    </xf>
    <xf numFmtId="174" fontId="0" fillId="0" borderId="0" xfId="0" applyNumberFormat="1" applyAlignment="1" applyProtection="1">
      <alignment horizontal="right"/>
    </xf>
    <xf numFmtId="170" fontId="27" fillId="0" borderId="4" xfId="0" applyNumberFormat="1" applyFont="1" applyBorder="1" applyAlignment="1" applyProtection="1">
      <alignment horizontal="center"/>
    </xf>
    <xf numFmtId="170" fontId="0" fillId="0" borderId="0" xfId="0" applyNumberFormat="1" applyAlignment="1" applyProtection="1">
      <alignment horizontal="right"/>
    </xf>
    <xf numFmtId="166" fontId="27" fillId="0" borderId="4" xfId="0" applyNumberFormat="1" applyFont="1" applyBorder="1" applyAlignment="1" applyProtection="1">
      <alignment horizontal="center"/>
    </xf>
    <xf numFmtId="166" fontId="0" fillId="0" borderId="0" xfId="0" applyNumberFormat="1" applyAlignment="1" applyProtection="1">
      <alignment horizontal="right"/>
    </xf>
    <xf numFmtId="0" fontId="27" fillId="0" borderId="0" xfId="0" applyFont="1" applyAlignment="1">
      <alignment horizontal="center"/>
    </xf>
    <xf numFmtId="166" fontId="27" fillId="0" borderId="0" xfId="0" applyNumberFormat="1" applyFont="1" applyAlignment="1" applyProtection="1">
      <alignment horizontal="center"/>
    </xf>
    <xf numFmtId="0" fontId="0" fillId="0" borderId="0" xfId="0" applyBorder="1"/>
    <xf numFmtId="0" fontId="0" fillId="0" borderId="32" xfId="0" applyBorder="1" applyProtection="1"/>
    <xf numFmtId="0" fontId="0" fillId="0" borderId="33" xfId="0" applyBorder="1" applyProtection="1"/>
    <xf numFmtId="0" fontId="0" fillId="0" borderId="34" xfId="0" applyBorder="1"/>
    <xf numFmtId="0" fontId="0" fillId="0" borderId="35" xfId="0" applyBorder="1"/>
    <xf numFmtId="0" fontId="0" fillId="0" borderId="36" xfId="0" applyBorder="1"/>
    <xf numFmtId="0" fontId="0" fillId="0" borderId="37" xfId="0" applyBorder="1"/>
    <xf numFmtId="0" fontId="27" fillId="0" borderId="9" xfId="0" quotePrefix="1" applyFont="1" applyBorder="1" applyAlignment="1">
      <alignment horizontal="center"/>
    </xf>
    <xf numFmtId="0" fontId="0" fillId="0" borderId="0" xfId="0" applyFill="1" applyBorder="1" applyAlignment="1"/>
    <xf numFmtId="0" fontId="0" fillId="0" borderId="35" xfId="0" applyFill="1" applyBorder="1" applyAlignment="1"/>
    <xf numFmtId="0" fontId="35" fillId="0" borderId="38" xfId="0" applyFont="1" applyFill="1" applyBorder="1" applyAlignment="1">
      <alignment horizontal="center"/>
    </xf>
    <xf numFmtId="0" fontId="35" fillId="0" borderId="38" xfId="0" applyFont="1" applyFill="1" applyBorder="1" applyAlignment="1">
      <alignment horizontal="centerContinuous"/>
    </xf>
    <xf numFmtId="166" fontId="0" fillId="0" borderId="0" xfId="0" applyNumberFormat="1" applyBorder="1" applyProtection="1"/>
    <xf numFmtId="170" fontId="2" fillId="0" borderId="0" xfId="0" applyNumberFormat="1" applyFont="1" applyProtection="1"/>
    <xf numFmtId="169" fontId="0" fillId="0" borderId="0" xfId="0" applyNumberFormat="1" applyAlignment="1" applyProtection="1">
      <alignment horizontal="center"/>
    </xf>
    <xf numFmtId="0" fontId="27" fillId="0" borderId="0" xfId="0" applyFont="1" applyAlignment="1">
      <alignment horizontal="right"/>
    </xf>
    <xf numFmtId="1" fontId="28" fillId="0" borderId="0" xfId="0" applyNumberFormat="1" applyFont="1" applyProtection="1"/>
    <xf numFmtId="1" fontId="2" fillId="0" borderId="0" xfId="0" applyNumberFormat="1" applyFont="1" applyProtection="1"/>
    <xf numFmtId="179" fontId="2" fillId="0" borderId="0" xfId="0" applyNumberFormat="1" applyFont="1"/>
    <xf numFmtId="175" fontId="2" fillId="0" borderId="0" xfId="0" applyNumberFormat="1" applyFont="1"/>
    <xf numFmtId="178" fontId="0" fillId="0" borderId="0" xfId="0" applyNumberFormat="1"/>
    <xf numFmtId="0" fontId="10" fillId="0" borderId="3" xfId="0" applyFont="1" applyFill="1" applyBorder="1"/>
    <xf numFmtId="1" fontId="0" fillId="0" borderId="0" xfId="1" applyNumberFormat="1" applyFont="1"/>
    <xf numFmtId="0" fontId="10" fillId="0" borderId="39" xfId="0" applyFont="1" applyBorder="1"/>
    <xf numFmtId="0" fontId="3" fillId="0" borderId="0" xfId="0" applyFont="1" applyBorder="1"/>
    <xf numFmtId="37" fontId="4" fillId="3" borderId="0" xfId="0" applyNumberFormat="1" applyFont="1" applyFill="1" applyBorder="1" applyProtection="1"/>
    <xf numFmtId="0" fontId="5" fillId="0" borderId="0" xfId="0" applyFont="1" applyBorder="1"/>
    <xf numFmtId="0" fontId="6" fillId="0" borderId="0" xfId="0" applyFont="1" applyBorder="1"/>
    <xf numFmtId="0" fontId="10" fillId="0" borderId="0" xfId="0" applyFont="1" applyBorder="1"/>
    <xf numFmtId="0" fontId="0" fillId="0" borderId="0" xfId="0" applyBorder="1" applyAlignment="1">
      <alignment horizontal="center"/>
    </xf>
    <xf numFmtId="0" fontId="31" fillId="0" borderId="6" xfId="0" applyFont="1" applyBorder="1" applyAlignment="1">
      <alignment horizontal="left"/>
    </xf>
    <xf numFmtId="37" fontId="15" fillId="0" borderId="3" xfId="0" applyNumberFormat="1" applyFont="1" applyFill="1" applyBorder="1" applyProtection="1"/>
    <xf numFmtId="0" fontId="10" fillId="0" borderId="17" xfId="0" applyFont="1" applyBorder="1" applyAlignment="1">
      <alignment horizontal="right"/>
    </xf>
    <xf numFmtId="0" fontId="10" fillId="0" borderId="39" xfId="0" applyFont="1" applyBorder="1" applyAlignment="1">
      <alignment horizontal="right"/>
    </xf>
    <xf numFmtId="0" fontId="10" fillId="0" borderId="21" xfId="0" applyFont="1" applyBorder="1" applyAlignment="1">
      <alignment horizontal="right"/>
    </xf>
    <xf numFmtId="0" fontId="6" fillId="0" borderId="0" xfId="0" applyFont="1" applyBorder="1" applyAlignment="1">
      <alignment horizontal="left"/>
    </xf>
    <xf numFmtId="0" fontId="0" fillId="0" borderId="0" xfId="0" applyBorder="1" applyAlignment="1">
      <alignment horizontal="left"/>
    </xf>
    <xf numFmtId="0" fontId="10" fillId="0" borderId="40" xfId="0" applyFont="1" applyBorder="1"/>
    <xf numFmtId="37" fontId="18" fillId="0" borderId="41" xfId="0" applyNumberFormat="1" applyFont="1" applyBorder="1" applyProtection="1"/>
    <xf numFmtId="0" fontId="0" fillId="0" borderId="42" xfId="0" applyBorder="1"/>
    <xf numFmtId="0" fontId="0" fillId="0" borderId="43" xfId="0" applyBorder="1" applyAlignment="1">
      <alignment horizontal="center"/>
    </xf>
    <xf numFmtId="0" fontId="0" fillId="0" borderId="44" xfId="0" applyBorder="1" applyAlignment="1">
      <alignment horizontal="center"/>
    </xf>
    <xf numFmtId="0" fontId="0" fillId="0" borderId="45" xfId="0" applyBorder="1" applyAlignment="1">
      <alignment horizontal="centerContinuous"/>
    </xf>
    <xf numFmtId="0" fontId="0" fillId="0" borderId="46" xfId="0" applyBorder="1"/>
    <xf numFmtId="0" fontId="0" fillId="0" borderId="47" xfId="0" applyBorder="1" applyAlignment="1">
      <alignment horizontal="left"/>
    </xf>
    <xf numFmtId="0" fontId="0" fillId="0" borderId="45" xfId="0" applyBorder="1"/>
    <xf numFmtId="0" fontId="0" fillId="0" borderId="48" xfId="0" applyBorder="1"/>
    <xf numFmtId="0" fontId="0" fillId="0" borderId="0" xfId="0" quotePrefix="1"/>
    <xf numFmtId="37" fontId="0" fillId="0" borderId="0" xfId="0" applyNumberFormat="1"/>
    <xf numFmtId="0" fontId="41" fillId="0" borderId="0" xfId="0" applyFont="1"/>
    <xf numFmtId="0" fontId="41" fillId="0" borderId="0" xfId="0" applyFont="1" applyAlignment="1">
      <alignment horizontal="right"/>
    </xf>
    <xf numFmtId="0" fontId="42" fillId="0" borderId="0" xfId="0" applyFont="1"/>
    <xf numFmtId="0" fontId="43" fillId="0" borderId="0" xfId="0" applyFont="1"/>
    <xf numFmtId="0" fontId="19" fillId="0" borderId="0" xfId="0" applyFont="1"/>
    <xf numFmtId="0" fontId="15" fillId="0" borderId="49" xfId="0" applyFont="1" applyBorder="1" applyAlignment="1">
      <alignment horizontal="center"/>
    </xf>
    <xf numFmtId="0" fontId="14" fillId="0" borderId="50" xfId="0" applyFont="1" applyBorder="1" applyAlignment="1">
      <alignment horizontal="center"/>
    </xf>
    <xf numFmtId="37" fontId="16" fillId="2" borderId="7" xfId="0" applyNumberFormat="1" applyFont="1" applyFill="1" applyBorder="1" applyProtection="1"/>
    <xf numFmtId="0" fontId="0" fillId="2" borderId="49" xfId="0" applyFill="1" applyBorder="1" applyAlignment="1">
      <alignment horizontal="left"/>
    </xf>
    <xf numFmtId="0" fontId="0" fillId="2" borderId="51" xfId="0" applyFill="1" applyBorder="1"/>
    <xf numFmtId="0" fontId="0" fillId="2" borderId="49" xfId="0" applyFill="1" applyBorder="1"/>
    <xf numFmtId="165" fontId="0" fillId="2" borderId="49" xfId="0" applyNumberFormat="1" applyFill="1" applyBorder="1" applyProtection="1"/>
    <xf numFmtId="0" fontId="10" fillId="0" borderId="52" xfId="0" applyFont="1" applyBorder="1"/>
    <xf numFmtId="0" fontId="14" fillId="0" borderId="3" xfId="0" applyFont="1" applyBorder="1"/>
    <xf numFmtId="0" fontId="17" fillId="0" borderId="53" xfId="0" applyFont="1" applyBorder="1"/>
    <xf numFmtId="0" fontId="0" fillId="0" borderId="54" xfId="0" applyBorder="1"/>
    <xf numFmtId="37" fontId="15" fillId="0" borderId="0" xfId="0" applyNumberFormat="1" applyFont="1" applyFill="1" applyBorder="1" applyProtection="1"/>
    <xf numFmtId="0" fontId="15" fillId="0" borderId="7" xfId="0" applyFont="1" applyBorder="1" applyAlignment="1">
      <alignment horizontal="center"/>
    </xf>
    <xf numFmtId="37" fontId="16" fillId="2" borderId="49" xfId="0" applyNumberFormat="1" applyFont="1" applyFill="1" applyBorder="1" applyProtection="1"/>
    <xf numFmtId="0" fontId="14" fillId="2" borderId="55" xfId="0" applyFont="1" applyFill="1" applyBorder="1" applyAlignment="1">
      <alignment horizontal="left"/>
    </xf>
    <xf numFmtId="0" fontId="14" fillId="2" borderId="55" xfId="0" quotePrefix="1" applyFont="1" applyFill="1" applyBorder="1" applyAlignment="1">
      <alignment horizontal="left"/>
    </xf>
    <xf numFmtId="0" fontId="15" fillId="0" borderId="50" xfId="0" applyFont="1" applyBorder="1" applyAlignment="1">
      <alignment horizontal="center"/>
    </xf>
    <xf numFmtId="0" fontId="16" fillId="2" borderId="49" xfId="0" applyFont="1" applyFill="1" applyBorder="1"/>
    <xf numFmtId="167" fontId="18" fillId="0" borderId="0" xfId="0" applyNumberFormat="1" applyFont="1" applyFill="1" applyBorder="1" applyAlignment="1" applyProtection="1">
      <alignment horizontal="center"/>
    </xf>
    <xf numFmtId="165" fontId="18" fillId="0" borderId="0" xfId="0" applyNumberFormat="1" applyFont="1" applyFill="1" applyBorder="1" applyAlignment="1" applyProtection="1">
      <alignment horizontal="center"/>
    </xf>
    <xf numFmtId="168" fontId="18" fillId="0" borderId="0" xfId="0" applyNumberFormat="1" applyFont="1" applyFill="1" applyBorder="1" applyAlignment="1" applyProtection="1">
      <alignment horizontal="center"/>
    </xf>
    <xf numFmtId="0" fontId="18" fillId="2" borderId="49" xfId="0" applyFont="1" applyFill="1" applyBorder="1"/>
    <xf numFmtId="165" fontId="0" fillId="0" borderId="0" xfId="0" applyNumberFormat="1" applyBorder="1" applyProtection="1"/>
    <xf numFmtId="0" fontId="14" fillId="0" borderId="4" xfId="0" applyFont="1" applyBorder="1" applyAlignment="1">
      <alignment horizontal="centerContinuous"/>
    </xf>
    <xf numFmtId="0" fontId="14" fillId="0" borderId="5" xfId="0" applyFont="1" applyBorder="1" applyAlignment="1">
      <alignment horizontal="left"/>
    </xf>
    <xf numFmtId="0" fontId="14" fillId="0" borderId="10" xfId="0" applyFont="1" applyBorder="1" applyAlignment="1">
      <alignment horizontal="center"/>
    </xf>
    <xf numFmtId="165" fontId="14" fillId="0" borderId="10" xfId="0" applyNumberFormat="1" applyFont="1" applyBorder="1" applyProtection="1"/>
    <xf numFmtId="165" fontId="14" fillId="0" borderId="10" xfId="0" applyNumberFormat="1" applyFont="1" applyBorder="1" applyAlignment="1" applyProtection="1">
      <alignment horizontal="center"/>
    </xf>
    <xf numFmtId="0" fontId="15" fillId="0" borderId="56" xfId="0" applyFont="1" applyBorder="1" applyAlignment="1">
      <alignment horizontal="center"/>
    </xf>
    <xf numFmtId="0" fontId="15" fillId="0" borderId="22" xfId="0" applyFont="1" applyBorder="1" applyAlignment="1">
      <alignment horizontal="center"/>
    </xf>
    <xf numFmtId="0" fontId="15" fillId="0" borderId="22" xfId="0" applyFont="1" applyBorder="1" applyAlignment="1">
      <alignment horizontal="centerContinuous"/>
    </xf>
    <xf numFmtId="0" fontId="0" fillId="2" borderId="57" xfId="0" applyFill="1" applyBorder="1"/>
    <xf numFmtId="0" fontId="14" fillId="0" borderId="12" xfId="0" applyFont="1" applyBorder="1" applyAlignment="1">
      <alignment horizontal="center"/>
    </xf>
    <xf numFmtId="0" fontId="14" fillId="0" borderId="12" xfId="0" applyFont="1" applyBorder="1" applyAlignment="1">
      <alignment horizontal="centerContinuous"/>
    </xf>
    <xf numFmtId="0" fontId="14" fillId="0" borderId="58" xfId="0" applyFont="1" applyBorder="1" applyAlignment="1">
      <alignment horizontal="centerContinuous"/>
    </xf>
    <xf numFmtId="0" fontId="14" fillId="0" borderId="55" xfId="0" applyFont="1" applyBorder="1" applyAlignment="1">
      <alignment horizontal="center"/>
    </xf>
    <xf numFmtId="0" fontId="14" fillId="0" borderId="60" xfId="0" applyFont="1" applyBorder="1" applyAlignment="1">
      <alignment horizontal="centerContinuous"/>
    </xf>
    <xf numFmtId="165" fontId="14" fillId="0" borderId="12" xfId="0" applyNumberFormat="1" applyFont="1" applyBorder="1" applyAlignment="1" applyProtection="1">
      <alignment horizontal="center"/>
    </xf>
    <xf numFmtId="0" fontId="15" fillId="0" borderId="0" xfId="0" applyFont="1" applyBorder="1" applyAlignment="1">
      <alignment horizontal="center"/>
    </xf>
    <xf numFmtId="0" fontId="15" fillId="0" borderId="18" xfId="0" applyFont="1" applyBorder="1" applyAlignment="1">
      <alignment horizontal="center"/>
    </xf>
    <xf numFmtId="37" fontId="18" fillId="0" borderId="0" xfId="0" applyNumberFormat="1" applyFont="1" applyBorder="1" applyProtection="1"/>
    <xf numFmtId="37" fontId="0" fillId="0" borderId="0" xfId="0" applyNumberFormat="1" applyFill="1" applyBorder="1" applyProtection="1"/>
    <xf numFmtId="0" fontId="0" fillId="0" borderId="0" xfId="0" applyFill="1" applyBorder="1"/>
    <xf numFmtId="0" fontId="0" fillId="0" borderId="0" xfId="0" applyFill="1" applyBorder="1" applyAlignment="1">
      <alignment horizontal="center"/>
    </xf>
    <xf numFmtId="168" fontId="0" fillId="0" borderId="0" xfId="0" applyNumberFormat="1" applyFill="1" applyBorder="1" applyAlignment="1" applyProtection="1">
      <alignment horizontal="center"/>
    </xf>
    <xf numFmtId="0" fontId="10" fillId="0" borderId="1" xfId="0" applyFont="1" applyFill="1" applyBorder="1"/>
    <xf numFmtId="0" fontId="35" fillId="0" borderId="0" xfId="0" applyFont="1"/>
    <xf numFmtId="0" fontId="10" fillId="0" borderId="13" xfId="0" applyFont="1" applyBorder="1" applyAlignment="1">
      <alignment horizontal="center"/>
    </xf>
    <xf numFmtId="0" fontId="13" fillId="0" borderId="32" xfId="0" applyFont="1" applyBorder="1"/>
    <xf numFmtId="0" fontId="0" fillId="0" borderId="33" xfId="0" applyBorder="1"/>
    <xf numFmtId="0" fontId="0" fillId="0" borderId="33" xfId="0" applyBorder="1" applyAlignment="1">
      <alignment horizontal="left"/>
    </xf>
    <xf numFmtId="165" fontId="0" fillId="0" borderId="33" xfId="0" applyNumberFormat="1" applyBorder="1" applyProtection="1"/>
    <xf numFmtId="166" fontId="0" fillId="0" borderId="61" xfId="0" applyNumberFormat="1" applyBorder="1" applyProtection="1"/>
    <xf numFmtId="0" fontId="13" fillId="0" borderId="62" xfId="0" applyFont="1" applyBorder="1"/>
    <xf numFmtId="166" fontId="0" fillId="0" borderId="34" xfId="0" applyNumberFormat="1" applyBorder="1" applyProtection="1"/>
    <xf numFmtId="0" fontId="14" fillId="0" borderId="63" xfId="0" applyFont="1" applyBorder="1" applyAlignment="1">
      <alignment horizontal="center"/>
    </xf>
    <xf numFmtId="166" fontId="14" fillId="0" borderId="64" xfId="0" applyNumberFormat="1" applyFont="1" applyBorder="1" applyProtection="1"/>
    <xf numFmtId="0" fontId="14" fillId="0" borderId="65" xfId="0" applyFont="1" applyBorder="1" applyAlignment="1">
      <alignment horizontal="center"/>
    </xf>
    <xf numFmtId="166" fontId="14" fillId="0" borderId="66" xfId="0" applyNumberFormat="1" applyFont="1" applyBorder="1" applyAlignment="1" applyProtection="1">
      <alignment horizontal="center"/>
    </xf>
    <xf numFmtId="166" fontId="0" fillId="2" borderId="67" xfId="0" applyNumberFormat="1" applyFill="1" applyBorder="1" applyProtection="1"/>
    <xf numFmtId="166" fontId="18" fillId="0" borderId="34" xfId="0" applyNumberFormat="1" applyFont="1" applyFill="1" applyBorder="1" applyAlignment="1" applyProtection="1">
      <alignment horizontal="center"/>
    </xf>
    <xf numFmtId="37" fontId="0" fillId="0" borderId="68" xfId="0" applyNumberFormat="1" applyFill="1" applyBorder="1" applyProtection="1"/>
    <xf numFmtId="0" fontId="0" fillId="0" borderId="69" xfId="0" applyFill="1" applyBorder="1"/>
    <xf numFmtId="0" fontId="0" fillId="0" borderId="35" xfId="0" applyFill="1" applyBorder="1"/>
    <xf numFmtId="0" fontId="0" fillId="0" borderId="70" xfId="0" applyFill="1" applyBorder="1"/>
    <xf numFmtId="0" fontId="0" fillId="0" borderId="35" xfId="0" applyFill="1" applyBorder="1" applyAlignment="1">
      <alignment horizontal="center"/>
    </xf>
    <xf numFmtId="168" fontId="0" fillId="0" borderId="35" xfId="0" applyNumberFormat="1" applyFill="1" applyBorder="1" applyAlignment="1" applyProtection="1">
      <alignment horizontal="center"/>
    </xf>
    <xf numFmtId="0" fontId="0" fillId="0" borderId="36" xfId="0" applyFill="1" applyBorder="1" applyAlignment="1">
      <alignment horizontal="center"/>
    </xf>
    <xf numFmtId="0" fontId="13" fillId="0" borderId="32" xfId="0" applyFont="1" applyBorder="1" applyAlignment="1">
      <alignment horizontal="left"/>
    </xf>
    <xf numFmtId="0" fontId="15" fillId="0" borderId="33" xfId="0" applyFont="1" applyBorder="1" applyAlignment="1">
      <alignment horizontal="center"/>
    </xf>
    <xf numFmtId="37" fontId="18" fillId="0" borderId="33" xfId="0" applyNumberFormat="1" applyFont="1" applyBorder="1" applyProtection="1"/>
    <xf numFmtId="37" fontId="0" fillId="0" borderId="33" xfId="0" applyNumberFormat="1" applyFill="1" applyBorder="1" applyProtection="1"/>
    <xf numFmtId="0" fontId="0" fillId="0" borderId="33" xfId="0" applyFill="1" applyBorder="1"/>
    <xf numFmtId="0" fontId="0" fillId="0" borderId="33" xfId="0" applyFill="1" applyBorder="1" applyAlignment="1">
      <alignment horizontal="center"/>
    </xf>
    <xf numFmtId="168" fontId="0" fillId="0" borderId="33" xfId="0" applyNumberFormat="1" applyFill="1" applyBorder="1" applyAlignment="1" applyProtection="1">
      <alignment horizontal="center"/>
    </xf>
    <xf numFmtId="0" fontId="10" fillId="0" borderId="61" xfId="0" applyFont="1" applyFill="1" applyBorder="1"/>
    <xf numFmtId="0" fontId="0" fillId="0" borderId="71" xfId="0" applyBorder="1"/>
    <xf numFmtId="0" fontId="0" fillId="0" borderId="66" xfId="0" applyBorder="1"/>
    <xf numFmtId="0" fontId="15" fillId="0" borderId="62" xfId="0" applyFont="1" applyBorder="1" applyAlignment="1">
      <alignment horizontal="center"/>
    </xf>
    <xf numFmtId="0" fontId="0" fillId="0" borderId="64" xfId="0" applyBorder="1"/>
    <xf numFmtId="0" fontId="0" fillId="0" borderId="72" xfId="0" applyBorder="1"/>
    <xf numFmtId="0" fontId="0" fillId="0" borderId="62" xfId="0" applyBorder="1" applyAlignment="1">
      <alignment horizontal="right"/>
    </xf>
    <xf numFmtId="0" fontId="0" fillId="0" borderId="62" xfId="0" applyBorder="1"/>
    <xf numFmtId="0" fontId="40" fillId="0" borderId="62" xfId="0" applyFont="1" applyBorder="1"/>
    <xf numFmtId="0" fontId="0" fillId="0" borderId="73" xfId="0" applyBorder="1" applyAlignment="1">
      <alignment horizontal="right"/>
    </xf>
    <xf numFmtId="0" fontId="0" fillId="0" borderId="74" xfId="0" applyBorder="1"/>
    <xf numFmtId="0" fontId="10" fillId="0" borderId="74" xfId="0" applyFont="1" applyBorder="1"/>
    <xf numFmtId="0" fontId="0" fillId="0" borderId="68" xfId="0" applyBorder="1" applyAlignment="1">
      <alignment horizontal="left"/>
    </xf>
    <xf numFmtId="0" fontId="0" fillId="0" borderId="74" xfId="0" applyBorder="1" applyAlignment="1">
      <alignment horizontal="center"/>
    </xf>
    <xf numFmtId="0" fontId="0" fillId="0" borderId="75" xfId="0" applyBorder="1"/>
    <xf numFmtId="0" fontId="0" fillId="0" borderId="76" xfId="0" applyBorder="1"/>
    <xf numFmtId="0" fontId="0" fillId="0" borderId="32" xfId="0" applyBorder="1"/>
    <xf numFmtId="0" fontId="0" fillId="0" borderId="77" xfId="0" applyBorder="1"/>
    <xf numFmtId="0" fontId="18" fillId="0" borderId="78" xfId="0" applyFont="1" applyBorder="1"/>
    <xf numFmtId="0" fontId="0" fillId="0" borderId="79" xfId="0" applyBorder="1"/>
    <xf numFmtId="0" fontId="0" fillId="0" borderId="80" xfId="0" applyBorder="1"/>
    <xf numFmtId="0" fontId="0" fillId="0" borderId="61" xfId="0" applyBorder="1"/>
    <xf numFmtId="0" fontId="14" fillId="0" borderId="62" xfId="0" applyFont="1" applyBorder="1"/>
    <xf numFmtId="0" fontId="0" fillId="0" borderId="0" xfId="0" applyBorder="1" applyAlignment="1">
      <alignment horizontal="right"/>
    </xf>
    <xf numFmtId="0" fontId="0" fillId="0" borderId="62" xfId="0" applyBorder="1" applyAlignment="1">
      <alignment horizontal="left"/>
    </xf>
    <xf numFmtId="0" fontId="0" fillId="0" borderId="0" xfId="0" applyBorder="1" applyAlignment="1">
      <alignment horizontal="centerContinuous"/>
    </xf>
    <xf numFmtId="182" fontId="0" fillId="0" borderId="0" xfId="0" quotePrefix="1" applyNumberFormat="1" applyBorder="1"/>
    <xf numFmtId="0" fontId="0" fillId="0" borderId="81" xfId="0" applyBorder="1"/>
    <xf numFmtId="0" fontId="0" fillId="0" borderId="82" xfId="0" applyBorder="1"/>
    <xf numFmtId="0" fontId="18" fillId="0" borderId="62" xfId="0" applyFont="1" applyBorder="1"/>
    <xf numFmtId="0" fontId="6" fillId="0" borderId="34" xfId="0" applyFont="1" applyBorder="1" applyAlignment="1">
      <alignment horizontal="left"/>
    </xf>
    <xf numFmtId="0" fontId="0" fillId="0" borderId="34" xfId="0" applyBorder="1" applyAlignment="1">
      <alignment horizontal="left"/>
    </xf>
    <xf numFmtId="0" fontId="20" fillId="0" borderId="0" xfId="0" applyFont="1" applyBorder="1"/>
    <xf numFmtId="0" fontId="0" fillId="0" borderId="35" xfId="0" applyBorder="1" applyAlignment="1">
      <alignment horizontal="left"/>
    </xf>
    <xf numFmtId="0" fontId="0" fillId="0" borderId="35" xfId="0" applyBorder="1" applyAlignment="1">
      <alignment horizontal="centerContinuous"/>
    </xf>
    <xf numFmtId="0" fontId="0" fillId="0" borderId="70" xfId="0" applyBorder="1"/>
    <xf numFmtId="0" fontId="0" fillId="0" borderId="83" xfId="0" applyBorder="1"/>
    <xf numFmtId="37" fontId="0" fillId="0" borderId="0" xfId="0" applyNumberFormat="1" applyAlignment="1">
      <alignment horizontal="left"/>
    </xf>
    <xf numFmtId="0" fontId="0" fillId="0" borderId="85" xfId="0" applyBorder="1" applyAlignment="1" applyProtection="1">
      <alignment horizontal="center"/>
    </xf>
    <xf numFmtId="0" fontId="0" fillId="0" borderId="86" xfId="0" applyBorder="1" applyAlignment="1" applyProtection="1">
      <alignment horizontal="center"/>
    </xf>
    <xf numFmtId="37" fontId="14" fillId="2" borderId="23" xfId="0" applyNumberFormat="1" applyFont="1" applyFill="1" applyBorder="1" applyAlignment="1" applyProtection="1">
      <alignment horizontal="right"/>
    </xf>
    <xf numFmtId="0" fontId="15" fillId="0" borderId="87" xfId="0" applyFont="1" applyBorder="1" applyAlignment="1">
      <alignment horizontal="left"/>
    </xf>
    <xf numFmtId="0" fontId="15" fillId="0" borderId="88" xfId="0" applyFont="1" applyBorder="1" applyAlignment="1">
      <alignment horizontal="center"/>
    </xf>
    <xf numFmtId="0" fontId="15" fillId="0" borderId="23" xfId="0" applyFont="1" applyBorder="1" applyAlignment="1">
      <alignment horizontal="left"/>
    </xf>
    <xf numFmtId="0" fontId="15" fillId="0" borderId="24" xfId="0" applyFont="1" applyBorder="1" applyAlignment="1">
      <alignment horizontal="center"/>
    </xf>
    <xf numFmtId="1" fontId="0" fillId="0" borderId="0" xfId="1" applyNumberFormat="1" applyFont="1" applyAlignment="1">
      <alignment horizontal="right"/>
    </xf>
    <xf numFmtId="0" fontId="0" fillId="0" borderId="16" xfId="0" applyBorder="1" applyAlignment="1">
      <alignment horizontal="left"/>
    </xf>
    <xf numFmtId="0" fontId="0" fillId="0" borderId="29" xfId="0" quotePrefix="1" applyBorder="1" applyAlignment="1">
      <alignment horizontal="center"/>
    </xf>
    <xf numFmtId="0" fontId="0" fillId="0" borderId="30" xfId="0" quotePrefix="1" applyBorder="1" applyAlignment="1">
      <alignment horizontal="center"/>
    </xf>
    <xf numFmtId="0" fontId="0" fillId="0" borderId="6" xfId="0" applyBorder="1" applyAlignment="1">
      <alignment horizontal="center"/>
    </xf>
    <xf numFmtId="0" fontId="0" fillId="0" borderId="89" xfId="0" applyBorder="1"/>
    <xf numFmtId="0" fontId="48" fillId="0" borderId="0" xfId="0" applyFont="1"/>
    <xf numFmtId="0" fontId="14" fillId="4" borderId="90" xfId="0" applyFont="1" applyFill="1" applyBorder="1"/>
    <xf numFmtId="0" fontId="0" fillId="4" borderId="74" xfId="0" applyFill="1" applyBorder="1"/>
    <xf numFmtId="0" fontId="48" fillId="0" borderId="0" xfId="0" applyFont="1" applyProtection="1"/>
    <xf numFmtId="0" fontId="14" fillId="0" borderId="91" xfId="0" applyFont="1" applyBorder="1" applyAlignment="1">
      <alignment horizontal="centerContinuous"/>
    </xf>
    <xf numFmtId="0" fontId="15" fillId="0" borderId="92" xfId="0" applyFont="1" applyBorder="1" applyAlignment="1">
      <alignment horizontal="centerContinuous"/>
    </xf>
    <xf numFmtId="0" fontId="14" fillId="2" borderId="93" xfId="0" applyFont="1" applyFill="1" applyBorder="1" applyAlignment="1">
      <alignment horizontal="left"/>
    </xf>
    <xf numFmtId="3" fontId="0" fillId="0" borderId="0" xfId="0" applyNumberFormat="1"/>
    <xf numFmtId="0" fontId="0" fillId="4" borderId="4" xfId="0" applyFill="1" applyBorder="1" applyAlignment="1">
      <alignment horizontal="center"/>
    </xf>
    <xf numFmtId="0" fontId="0" fillId="4" borderId="7" xfId="0" applyFill="1" applyBorder="1" applyAlignment="1">
      <alignment horizontal="center"/>
    </xf>
    <xf numFmtId="0" fontId="27" fillId="4" borderId="9" xfId="0" quotePrefix="1" applyFont="1" applyFill="1" applyBorder="1" applyAlignment="1">
      <alignment horizontal="center"/>
    </xf>
    <xf numFmtId="0" fontId="0" fillId="0" borderId="94" xfId="0" applyBorder="1" applyAlignment="1">
      <alignment horizontal="center"/>
    </xf>
    <xf numFmtId="0" fontId="0" fillId="0" borderId="95" xfId="0" applyBorder="1" applyAlignment="1">
      <alignment horizontal="center"/>
    </xf>
    <xf numFmtId="0" fontId="40" fillId="0" borderId="7" xfId="0" applyFont="1" applyBorder="1" applyProtection="1"/>
    <xf numFmtId="0" fontId="0" fillId="0" borderId="34" xfId="0" quotePrefix="1" applyBorder="1"/>
    <xf numFmtId="0" fontId="39" fillId="0" borderId="96" xfId="0" applyFont="1" applyBorder="1"/>
    <xf numFmtId="0" fontId="39" fillId="0" borderId="22" xfId="0" applyFont="1" applyBorder="1"/>
    <xf numFmtId="37" fontId="21" fillId="0" borderId="13" xfId="0" applyNumberFormat="1" applyFont="1" applyBorder="1" applyProtection="1"/>
    <xf numFmtId="37" fontId="21" fillId="0" borderId="97" xfId="0" applyNumberFormat="1" applyFont="1" applyBorder="1" applyProtection="1"/>
    <xf numFmtId="37" fontId="21" fillId="0" borderId="84" xfId="0" applyNumberFormat="1" applyFont="1" applyBorder="1" applyProtection="1"/>
    <xf numFmtId="9" fontId="43" fillId="0" borderId="17" xfId="0" applyNumberFormat="1" applyFont="1" applyFill="1" applyBorder="1" applyProtection="1"/>
    <xf numFmtId="9" fontId="43" fillId="0" borderId="19" xfId="0" applyNumberFormat="1" applyFont="1" applyFill="1" applyBorder="1" applyProtection="1"/>
    <xf numFmtId="3" fontId="0" fillId="0" borderId="5" xfId="0" applyNumberFormat="1" applyBorder="1" applyAlignment="1" applyProtection="1">
      <alignment horizontal="right"/>
    </xf>
    <xf numFmtId="3" fontId="0" fillId="0" borderId="0" xfId="0" applyNumberFormat="1" applyAlignment="1" applyProtection="1">
      <alignment horizontal="right"/>
    </xf>
    <xf numFmtId="38" fontId="0" fillId="0" borderId="0" xfId="0" applyNumberFormat="1" applyAlignment="1" applyProtection="1">
      <alignment horizontal="right"/>
    </xf>
    <xf numFmtId="38" fontId="0" fillId="0" borderId="0" xfId="0" applyNumberFormat="1" applyProtection="1"/>
    <xf numFmtId="169" fontId="32" fillId="0" borderId="7" xfId="0" applyNumberFormat="1" applyFont="1" applyBorder="1" applyAlignment="1" applyProtection="1">
      <alignment horizontal="center"/>
    </xf>
    <xf numFmtId="3" fontId="39" fillId="0" borderId="89" xfId="1" applyNumberFormat="1" applyFont="1" applyBorder="1"/>
    <xf numFmtId="0" fontId="39" fillId="0" borderId="6" xfId="0" applyFont="1" applyBorder="1"/>
    <xf numFmtId="171" fontId="39" fillId="0" borderId="0" xfId="0" applyNumberFormat="1" applyFont="1" applyProtection="1"/>
    <xf numFmtId="171" fontId="39" fillId="0" borderId="18" xfId="0" applyNumberFormat="1" applyFont="1" applyBorder="1" applyProtection="1"/>
    <xf numFmtId="171" fontId="39" fillId="0" borderId="10" xfId="0" applyNumberFormat="1" applyFont="1" applyBorder="1" applyProtection="1"/>
    <xf numFmtId="171" fontId="39" fillId="0" borderId="17" xfId="0" applyNumberFormat="1" applyFont="1" applyBorder="1" applyProtection="1"/>
    <xf numFmtId="0" fontId="39" fillId="0" borderId="0" xfId="0" applyFont="1"/>
    <xf numFmtId="0" fontId="39" fillId="0" borderId="18" xfId="0" applyFont="1" applyBorder="1"/>
    <xf numFmtId="37" fontId="39" fillId="0" borderId="7" xfId="0" applyNumberFormat="1" applyFont="1" applyBorder="1" applyProtection="1"/>
    <xf numFmtId="0" fontId="32" fillId="0" borderId="5" xfId="0" applyFont="1" applyBorder="1"/>
    <xf numFmtId="37" fontId="50" fillId="0" borderId="27" xfId="0" applyNumberFormat="1" applyFont="1" applyBorder="1" applyProtection="1"/>
    <xf numFmtId="37" fontId="50" fillId="0" borderId="22" xfId="0" applyNumberFormat="1" applyFont="1" applyBorder="1" applyProtection="1"/>
    <xf numFmtId="165" fontId="39" fillId="0" borderId="7" xfId="0" applyNumberFormat="1" applyFont="1" applyBorder="1" applyProtection="1"/>
    <xf numFmtId="0" fontId="40" fillId="4" borderId="5" xfId="0" applyFont="1" applyFill="1" applyBorder="1" applyAlignment="1">
      <alignment horizontal="center"/>
    </xf>
    <xf numFmtId="0" fontId="40" fillId="4" borderId="8" xfId="0" applyFont="1" applyFill="1" applyBorder="1" applyAlignment="1">
      <alignment horizontal="center"/>
    </xf>
    <xf numFmtId="0" fontId="27" fillId="0" borderId="7" xfId="0" applyFont="1" applyBorder="1" applyAlignment="1">
      <alignment horizontal="center"/>
    </xf>
    <xf numFmtId="171" fontId="27" fillId="0" borderId="7" xfId="0" applyNumberFormat="1" applyFont="1" applyBorder="1" applyAlignment="1" applyProtection="1">
      <alignment horizontal="center"/>
    </xf>
    <xf numFmtId="173" fontId="27" fillId="0" borderId="7" xfId="0" applyNumberFormat="1" applyFont="1" applyBorder="1" applyAlignment="1" applyProtection="1">
      <alignment horizontal="center"/>
    </xf>
    <xf numFmtId="174" fontId="27" fillId="0" borderId="7" xfId="0" applyNumberFormat="1" applyFont="1" applyBorder="1" applyAlignment="1" applyProtection="1">
      <alignment horizontal="center"/>
    </xf>
    <xf numFmtId="165" fontId="27" fillId="0" borderId="7" xfId="0" applyNumberFormat="1" applyFont="1" applyBorder="1" applyAlignment="1" applyProtection="1">
      <alignment horizontal="center"/>
    </xf>
    <xf numFmtId="0" fontId="39" fillId="0" borderId="89" xfId="0" applyFont="1" applyBorder="1"/>
    <xf numFmtId="0" fontId="32" fillId="0" borderId="6" xfId="0" applyFont="1" applyBorder="1"/>
    <xf numFmtId="0" fontId="32" fillId="0" borderId="8" xfId="0" applyFont="1" applyBorder="1"/>
    <xf numFmtId="0" fontId="39" fillId="0" borderId="10" xfId="0" applyFont="1" applyBorder="1"/>
    <xf numFmtId="166" fontId="39" fillId="0" borderId="0" xfId="0" applyNumberFormat="1" applyFont="1" applyProtection="1"/>
    <xf numFmtId="0" fontId="39" fillId="0" borderId="16" xfId="0" applyFont="1" applyBorder="1"/>
    <xf numFmtId="166" fontId="39" fillId="0" borderId="16" xfId="0" applyNumberFormat="1" applyFont="1" applyBorder="1" applyProtection="1"/>
    <xf numFmtId="0" fontId="32" fillId="0" borderId="0" xfId="0" applyFont="1"/>
    <xf numFmtId="166" fontId="32" fillId="0" borderId="0" xfId="0" applyNumberFormat="1" applyFont="1" applyProtection="1"/>
    <xf numFmtId="172" fontId="32" fillId="0" borderId="0" xfId="0" applyNumberFormat="1" applyFont="1" applyProtection="1"/>
    <xf numFmtId="174" fontId="32" fillId="0" borderId="0" xfId="0" applyNumberFormat="1" applyFont="1" applyProtection="1"/>
    <xf numFmtId="174" fontId="39" fillId="0" borderId="0" xfId="0" applyNumberFormat="1" applyFont="1" applyProtection="1"/>
    <xf numFmtId="169" fontId="39" fillId="0" borderId="0" xfId="0" applyNumberFormat="1" applyFont="1" applyProtection="1"/>
    <xf numFmtId="37" fontId="39" fillId="0" borderId="0" xfId="0" applyNumberFormat="1" applyFont="1" applyProtection="1"/>
    <xf numFmtId="167" fontId="39" fillId="0" borderId="18" xfId="0" applyNumberFormat="1" applyFont="1" applyBorder="1" applyProtection="1"/>
    <xf numFmtId="9" fontId="39" fillId="0" borderId="18" xfId="0" applyNumberFormat="1" applyFont="1" applyBorder="1" applyProtection="1"/>
    <xf numFmtId="179" fontId="39" fillId="0" borderId="0" xfId="0" applyNumberFormat="1" applyFont="1"/>
    <xf numFmtId="166" fontId="39" fillId="0" borderId="7" xfId="0" applyNumberFormat="1" applyFont="1" applyBorder="1" applyProtection="1"/>
    <xf numFmtId="169" fontId="39" fillId="0" borderId="0" xfId="0" quotePrefix="1" applyNumberFormat="1" applyFont="1" applyAlignment="1" applyProtection="1">
      <alignment horizontal="right"/>
    </xf>
    <xf numFmtId="0" fontId="39" fillId="0" borderId="7" xfId="0" applyFont="1" applyBorder="1"/>
    <xf numFmtId="169" fontId="39" fillId="0" borderId="7" xfId="0" applyNumberFormat="1" applyFont="1" applyBorder="1" applyProtection="1"/>
    <xf numFmtId="166" fontId="39" fillId="0" borderId="0" xfId="0" applyNumberFormat="1" applyFont="1"/>
    <xf numFmtId="169" fontId="32" fillId="0" borderId="0" xfId="0" applyNumberFormat="1" applyFont="1" applyProtection="1"/>
    <xf numFmtId="171" fontId="32" fillId="0" borderId="0" xfId="0" applyNumberFormat="1" applyFont="1" applyFill="1" applyProtection="1"/>
    <xf numFmtId="166" fontId="39" fillId="0" borderId="6" xfId="0" applyNumberFormat="1" applyFont="1" applyBorder="1" applyProtection="1"/>
    <xf numFmtId="169" fontId="39" fillId="0" borderId="0" xfId="0" applyNumberFormat="1" applyFont="1"/>
    <xf numFmtId="166" fontId="39" fillId="0" borderId="0" xfId="0" applyNumberFormat="1" applyFont="1" applyBorder="1" applyProtection="1"/>
    <xf numFmtId="166" fontId="32" fillId="4" borderId="0" xfId="0" applyNumberFormat="1" applyFont="1" applyFill="1" applyProtection="1"/>
    <xf numFmtId="167" fontId="39" fillId="0" borderId="0" xfId="4" applyNumberFormat="1" applyFont="1" applyProtection="1"/>
    <xf numFmtId="3" fontId="32" fillId="0" borderId="0" xfId="0" applyNumberFormat="1" applyFont="1" applyProtection="1"/>
    <xf numFmtId="3" fontId="32" fillId="0" borderId="0" xfId="0" applyNumberFormat="1" applyFont="1"/>
    <xf numFmtId="3" fontId="39" fillId="4" borderId="0" xfId="0" applyNumberFormat="1" applyFont="1" applyFill="1" applyProtection="1"/>
    <xf numFmtId="167" fontId="39" fillId="4" borderId="18" xfId="0" applyNumberFormat="1" applyFont="1" applyFill="1" applyBorder="1" applyProtection="1"/>
    <xf numFmtId="181" fontId="39" fillId="0" borderId="0" xfId="0" applyNumberFormat="1" applyFont="1"/>
    <xf numFmtId="37" fontId="32" fillId="0" borderId="0" xfId="0" applyNumberFormat="1" applyFont="1" applyProtection="1"/>
    <xf numFmtId="171" fontId="32" fillId="0" borderId="0" xfId="0" applyNumberFormat="1" applyFont="1" applyProtection="1"/>
    <xf numFmtId="167" fontId="32" fillId="0" borderId="18" xfId="0" applyNumberFormat="1" applyFont="1" applyBorder="1" applyProtection="1"/>
    <xf numFmtId="37" fontId="32" fillId="0" borderId="7" xfId="0" applyNumberFormat="1" applyFont="1" applyBorder="1" applyProtection="1"/>
    <xf numFmtId="166" fontId="32" fillId="0" borderId="7" xfId="0" applyNumberFormat="1" applyFont="1" applyBorder="1" applyProtection="1"/>
    <xf numFmtId="0" fontId="32" fillId="0" borderId="7" xfId="0" applyFont="1" applyBorder="1"/>
    <xf numFmtId="0" fontId="32" fillId="0" borderId="18" xfId="0" applyFont="1" applyBorder="1"/>
    <xf numFmtId="0" fontId="32" fillId="0" borderId="0" xfId="0" applyFont="1" applyAlignment="1">
      <alignment horizontal="right"/>
    </xf>
    <xf numFmtId="167" fontId="32" fillId="0" borderId="0" xfId="0" applyNumberFormat="1" applyFont="1" applyProtection="1"/>
    <xf numFmtId="170" fontId="32" fillId="0" borderId="0" xfId="0" applyNumberFormat="1" applyFont="1" applyProtection="1"/>
    <xf numFmtId="0" fontId="32" fillId="0" borderId="16" xfId="0" applyFont="1" applyBorder="1"/>
    <xf numFmtId="37" fontId="32" fillId="0" borderId="16" xfId="0" applyNumberFormat="1" applyFont="1" applyBorder="1" applyProtection="1"/>
    <xf numFmtId="171" fontId="32" fillId="0" borderId="16" xfId="0" applyNumberFormat="1" applyFont="1" applyBorder="1" applyProtection="1"/>
    <xf numFmtId="174" fontId="32" fillId="0" borderId="16" xfId="0" applyNumberFormat="1" applyFont="1" applyBorder="1" applyProtection="1"/>
    <xf numFmtId="170" fontId="32" fillId="0" borderId="16" xfId="0" applyNumberFormat="1" applyFont="1" applyBorder="1" applyProtection="1"/>
    <xf numFmtId="0" fontId="32" fillId="0" borderId="19" xfId="0" applyFont="1" applyBorder="1"/>
    <xf numFmtId="37" fontId="32" fillId="0" borderId="9" xfId="0" applyNumberFormat="1" applyFont="1" applyBorder="1" applyProtection="1"/>
    <xf numFmtId="0" fontId="32" fillId="0" borderId="9" xfId="0" applyFont="1" applyBorder="1"/>
    <xf numFmtId="170" fontId="32" fillId="0" borderId="0" xfId="0" applyNumberFormat="1" applyFont="1" applyAlignment="1" applyProtection="1">
      <alignment horizontal="right"/>
    </xf>
    <xf numFmtId="171" fontId="32" fillId="0" borderId="0" xfId="0" applyNumberFormat="1" applyFont="1" applyAlignment="1" applyProtection="1">
      <alignment horizontal="right"/>
    </xf>
    <xf numFmtId="37" fontId="32" fillId="0" borderId="6" xfId="0" applyNumberFormat="1" applyFont="1" applyBorder="1" applyProtection="1"/>
    <xf numFmtId="37" fontId="32" fillId="0" borderId="0" xfId="0" applyNumberFormat="1" applyFont="1" applyAlignment="1" applyProtection="1">
      <alignment horizontal="right"/>
    </xf>
    <xf numFmtId="167" fontId="39" fillId="0" borderId="0" xfId="0" applyNumberFormat="1" applyFont="1" applyProtection="1"/>
    <xf numFmtId="171" fontId="39" fillId="0" borderId="0" xfId="0" applyNumberFormat="1" applyFont="1"/>
    <xf numFmtId="170" fontId="39" fillId="0" borderId="0" xfId="0" applyNumberFormat="1" applyFont="1" applyProtection="1"/>
    <xf numFmtId="37" fontId="39" fillId="4" borderId="0" xfId="0" applyNumberFormat="1" applyFont="1" applyFill="1" applyProtection="1"/>
    <xf numFmtId="3" fontId="39" fillId="0" borderId="0" xfId="0" applyNumberFormat="1" applyFont="1"/>
    <xf numFmtId="3" fontId="39" fillId="0" borderId="0" xfId="0" applyNumberFormat="1" applyFont="1" applyProtection="1"/>
    <xf numFmtId="167" fontId="56" fillId="4" borderId="18" xfId="0" applyNumberFormat="1" applyFont="1" applyFill="1" applyBorder="1" applyProtection="1"/>
    <xf numFmtId="0" fontId="39" fillId="0" borderId="0" xfId="0" applyFont="1" applyBorder="1"/>
    <xf numFmtId="168" fontId="39" fillId="0" borderId="0" xfId="0" applyNumberFormat="1" applyFont="1" applyProtection="1"/>
    <xf numFmtId="169" fontId="39" fillId="0" borderId="18" xfId="0" applyNumberFormat="1" applyFont="1" applyBorder="1" applyProtection="1"/>
    <xf numFmtId="37" fontId="39" fillId="0" borderId="0" xfId="0" applyNumberFormat="1" applyFont="1" applyBorder="1" applyProtection="1"/>
    <xf numFmtId="37" fontId="39" fillId="0" borderId="6" xfId="0" applyNumberFormat="1" applyFont="1" applyBorder="1" applyProtection="1"/>
    <xf numFmtId="37" fontId="39" fillId="0" borderId="18" xfId="0" applyNumberFormat="1" applyFont="1" applyBorder="1" applyProtection="1"/>
    <xf numFmtId="180" fontId="39" fillId="0" borderId="0" xfId="1" applyNumberFormat="1" applyFont="1"/>
    <xf numFmtId="176" fontId="39" fillId="0" borderId="0" xfId="0" applyNumberFormat="1" applyFont="1"/>
    <xf numFmtId="178" fontId="39" fillId="0" borderId="0" xfId="0" applyNumberFormat="1" applyFont="1"/>
    <xf numFmtId="10" fontId="39" fillId="0" borderId="0" xfId="0" applyNumberFormat="1" applyFont="1" applyProtection="1"/>
    <xf numFmtId="0" fontId="39" fillId="0" borderId="0" xfId="0" applyFont="1" applyAlignment="1" applyProtection="1">
      <alignment horizontal="left"/>
    </xf>
    <xf numFmtId="169" fontId="39" fillId="0" borderId="17" xfId="0" applyNumberFormat="1" applyFont="1" applyBorder="1" applyProtection="1"/>
    <xf numFmtId="0" fontId="57" fillId="0" borderId="19" xfId="0" applyFont="1" applyBorder="1" applyProtection="1"/>
    <xf numFmtId="3" fontId="39" fillId="0" borderId="0" xfId="0" applyNumberFormat="1" applyFont="1" applyAlignment="1" applyProtection="1">
      <alignment horizontal="right"/>
    </xf>
    <xf numFmtId="167" fontId="39" fillId="0" borderId="18" xfId="0" applyNumberFormat="1" applyFont="1" applyBorder="1" applyAlignment="1" applyProtection="1">
      <alignment horizontal="center"/>
    </xf>
    <xf numFmtId="38" fontId="39" fillId="0" borderId="0" xfId="0" applyNumberFormat="1" applyFont="1" applyAlignment="1" applyProtection="1">
      <alignment horizontal="right"/>
    </xf>
    <xf numFmtId="3" fontId="39" fillId="5" borderId="6" xfId="0" applyNumberFormat="1" applyFont="1" applyFill="1" applyBorder="1" applyAlignment="1" applyProtection="1">
      <alignment horizontal="right"/>
    </xf>
    <xf numFmtId="37" fontId="39" fillId="0" borderId="0" xfId="0" applyNumberFormat="1" applyFont="1"/>
    <xf numFmtId="167" fontId="39" fillId="0" borderId="0" xfId="0" applyNumberFormat="1" applyFont="1"/>
    <xf numFmtId="10" fontId="39" fillId="0" borderId="17" xfId="0" applyNumberFormat="1" applyFont="1" applyBorder="1" applyProtection="1"/>
    <xf numFmtId="10" fontId="39" fillId="0" borderId="18" xfId="0" applyNumberFormat="1" applyFont="1" applyBorder="1" applyProtection="1"/>
    <xf numFmtId="177" fontId="39" fillId="0" borderId="0" xfId="0" applyNumberFormat="1" applyFont="1" applyProtection="1"/>
    <xf numFmtId="37" fontId="39" fillId="0" borderId="0" xfId="0" applyNumberFormat="1" applyFont="1" applyAlignment="1" applyProtection="1">
      <alignment horizontal="right"/>
    </xf>
    <xf numFmtId="11" fontId="39" fillId="0" borderId="0" xfId="0" applyNumberFormat="1" applyFont="1" applyAlignment="1" applyProtection="1">
      <alignment horizontal="right"/>
    </xf>
    <xf numFmtId="11" fontId="0" fillId="0" borderId="0" xfId="0" applyNumberFormat="1" applyAlignment="1" applyProtection="1">
      <alignment horizontal="right"/>
    </xf>
    <xf numFmtId="11" fontId="39" fillId="0" borderId="10" xfId="0" applyNumberFormat="1" applyFont="1" applyBorder="1" applyAlignment="1" applyProtection="1">
      <alignment horizontal="right"/>
    </xf>
    <xf numFmtId="0" fontId="40" fillId="4" borderId="27" xfId="0" applyFont="1" applyFill="1" applyBorder="1" applyAlignment="1" applyProtection="1">
      <alignment horizontal="centerContinuous"/>
    </xf>
    <xf numFmtId="0" fontId="0" fillId="4" borderId="29" xfId="0" applyFill="1" applyBorder="1" applyAlignment="1" applyProtection="1">
      <alignment horizontal="centerContinuous"/>
    </xf>
    <xf numFmtId="0" fontId="0" fillId="4" borderId="28" xfId="0" applyFill="1" applyBorder="1" applyAlignment="1" applyProtection="1">
      <alignment horizontal="centerContinuous"/>
    </xf>
    <xf numFmtId="0" fontId="0" fillId="0" borderId="0" xfId="0" applyBorder="1" applyAlignment="1" applyProtection="1">
      <alignment horizontal="right"/>
    </xf>
    <xf numFmtId="0" fontId="0" fillId="0" borderId="101" xfId="0" applyBorder="1" applyProtection="1"/>
    <xf numFmtId="0" fontId="0" fillId="0" borderId="102" xfId="0" applyBorder="1" applyProtection="1"/>
    <xf numFmtId="11" fontId="39" fillId="0" borderId="89" xfId="0" applyNumberFormat="1" applyFont="1" applyBorder="1" applyAlignment="1" applyProtection="1">
      <alignment horizontal="right"/>
    </xf>
    <xf numFmtId="165" fontId="0" fillId="0" borderId="103" xfId="0" applyNumberFormat="1" applyBorder="1" applyAlignment="1" applyProtection="1">
      <alignment horizontal="center"/>
    </xf>
    <xf numFmtId="37" fontId="21" fillId="0" borderId="104" xfId="0" applyNumberFormat="1" applyFont="1" applyBorder="1" applyProtection="1"/>
    <xf numFmtId="167" fontId="0" fillId="0" borderId="0" xfId="0" applyNumberFormat="1" applyBorder="1" applyProtection="1"/>
    <xf numFmtId="167" fontId="39" fillId="0" borderId="0" xfId="0" applyNumberFormat="1" applyFont="1" applyBorder="1" applyProtection="1"/>
    <xf numFmtId="0" fontId="58" fillId="4" borderId="9" xfId="0" applyFont="1" applyFill="1" applyBorder="1" applyAlignment="1">
      <alignment horizontal="center"/>
    </xf>
    <xf numFmtId="0" fontId="27" fillId="4" borderId="9" xfId="0" applyFont="1" applyFill="1" applyBorder="1" applyAlignment="1">
      <alignment horizontal="center"/>
    </xf>
    <xf numFmtId="0" fontId="14" fillId="0" borderId="4" xfId="0" quotePrefix="1" applyFont="1" applyBorder="1" applyAlignment="1">
      <alignment horizontal="centerContinuous"/>
    </xf>
    <xf numFmtId="167" fontId="39" fillId="0" borderId="105" xfId="0" applyNumberFormat="1" applyFont="1" applyBorder="1" applyProtection="1"/>
    <xf numFmtId="3" fontId="39" fillId="0" borderId="0" xfId="0" applyNumberFormat="1" applyFont="1" applyBorder="1" applyAlignment="1" applyProtection="1">
      <alignment horizontal="right"/>
    </xf>
    <xf numFmtId="3" fontId="31" fillId="0" borderId="0" xfId="0" applyNumberFormat="1" applyFont="1" applyProtection="1"/>
    <xf numFmtId="3" fontId="39" fillId="4" borderId="16" xfId="0" applyNumberFormat="1" applyFont="1" applyFill="1" applyBorder="1" applyProtection="1"/>
    <xf numFmtId="37" fontId="39" fillId="4" borderId="16" xfId="0" applyNumberFormat="1" applyFont="1" applyFill="1" applyBorder="1" applyProtection="1"/>
    <xf numFmtId="3" fontId="40" fillId="0" borderId="0" xfId="0" applyNumberFormat="1" applyFont="1" applyBorder="1"/>
    <xf numFmtId="3" fontId="40" fillId="0" borderId="14" xfId="0" applyNumberFormat="1" applyFont="1" applyBorder="1"/>
    <xf numFmtId="0" fontId="40" fillId="0" borderId="62" xfId="0" applyFont="1" applyBorder="1" applyAlignment="1">
      <alignment horizontal="right"/>
    </xf>
    <xf numFmtId="0" fontId="20" fillId="4" borderId="0" xfId="0" applyFont="1" applyFill="1"/>
    <xf numFmtId="0" fontId="22" fillId="4" borderId="0" xfId="0" applyFont="1" applyFill="1"/>
    <xf numFmtId="3" fontId="32" fillId="4" borderId="0" xfId="0" applyNumberFormat="1" applyFont="1" applyFill="1" applyProtection="1"/>
    <xf numFmtId="167" fontId="0" fillId="0" borderId="0" xfId="0" applyNumberFormat="1"/>
    <xf numFmtId="0" fontId="61" fillId="4" borderId="9" xfId="0" applyFont="1" applyFill="1" applyBorder="1" applyAlignment="1">
      <alignment horizontal="center"/>
    </xf>
    <xf numFmtId="37" fontId="0" fillId="0" borderId="34" xfId="0" applyNumberFormat="1" applyBorder="1"/>
    <xf numFmtId="37" fontId="0" fillId="0" borderId="0" xfId="0" applyNumberFormat="1" applyBorder="1"/>
    <xf numFmtId="37" fontId="21" fillId="0" borderId="0" xfId="0" applyNumberFormat="1" applyFont="1" applyProtection="1"/>
    <xf numFmtId="37" fontId="21" fillId="0" borderId="0" xfId="0" applyNumberFormat="1" applyFont="1" applyBorder="1" applyProtection="1"/>
    <xf numFmtId="37" fontId="21" fillId="0" borderId="62" xfId="0" applyNumberFormat="1" applyFont="1" applyBorder="1" applyProtection="1"/>
    <xf numFmtId="37" fontId="21" fillId="0" borderId="34" xfId="0" applyNumberFormat="1" applyFont="1" applyBorder="1" applyProtection="1"/>
    <xf numFmtId="166" fontId="11" fillId="0" borderId="0" xfId="0" applyNumberFormat="1" applyFont="1" applyProtection="1"/>
    <xf numFmtId="172" fontId="11" fillId="0" borderId="0" xfId="0" applyNumberFormat="1" applyFont="1" applyProtection="1"/>
    <xf numFmtId="166" fontId="11" fillId="4" borderId="0" xfId="0" applyNumberFormat="1" applyFont="1" applyFill="1" applyProtection="1"/>
    <xf numFmtId="175" fontId="11" fillId="0" borderId="0" xfId="0" applyNumberFormat="1" applyFont="1" applyProtection="1"/>
    <xf numFmtId="170" fontId="11" fillId="0" borderId="0" xfId="0" applyNumberFormat="1" applyFont="1" applyProtection="1"/>
    <xf numFmtId="179" fontId="11" fillId="0" borderId="0" xfId="0" applyNumberFormat="1" applyFont="1"/>
    <xf numFmtId="1" fontId="11" fillId="0" borderId="0" xfId="0" applyNumberFormat="1" applyFont="1" applyProtection="1"/>
    <xf numFmtId="1" fontId="11" fillId="4" borderId="0" xfId="0" applyNumberFormat="1" applyFont="1" applyFill="1" applyProtection="1"/>
    <xf numFmtId="0" fontId="0" fillId="0" borderId="7" xfId="0" applyFill="1" applyBorder="1" applyAlignment="1">
      <alignment horizontal="center"/>
    </xf>
    <xf numFmtId="0" fontId="27" fillId="0" borderId="7" xfId="0" applyFont="1" applyFill="1" applyBorder="1" applyAlignment="1">
      <alignment horizontal="center"/>
    </xf>
    <xf numFmtId="169" fontId="32" fillId="0" borderId="7" xfId="0" quotePrefix="1" applyNumberFormat="1" applyFont="1" applyBorder="1" applyAlignment="1" applyProtection="1">
      <alignment horizontal="center"/>
    </xf>
    <xf numFmtId="37" fontId="0" fillId="0" borderId="0" xfId="0" applyNumberFormat="1" applyBorder="1" applyAlignment="1">
      <alignment horizontal="centerContinuous"/>
    </xf>
    <xf numFmtId="180" fontId="57" fillId="4" borderId="0" xfId="1" applyNumberFormat="1" applyFont="1" applyFill="1" applyBorder="1" applyProtection="1"/>
    <xf numFmtId="174" fontId="32" fillId="0" borderId="0" xfId="0" applyNumberFormat="1" applyFont="1" applyAlignment="1" applyProtection="1">
      <alignment horizontal="right"/>
    </xf>
    <xf numFmtId="171" fontId="19" fillId="0" borderId="20" xfId="0" applyNumberFormat="1" applyFont="1" applyBorder="1" applyAlignment="1" applyProtection="1">
      <alignment horizontal="right"/>
    </xf>
    <xf numFmtId="0" fontId="31" fillId="0" borderId="34" xfId="0" applyFont="1" applyBorder="1"/>
    <xf numFmtId="0" fontId="20" fillId="0" borderId="21" xfId="0" applyFont="1" applyBorder="1" applyAlignment="1">
      <alignment horizontal="right"/>
    </xf>
    <xf numFmtId="0" fontId="20" fillId="0" borderId="14" xfId="0" applyFont="1" applyBorder="1" applyAlignment="1">
      <alignment horizontal="right"/>
    </xf>
    <xf numFmtId="37" fontId="43" fillId="0" borderId="107" xfId="0" applyNumberFormat="1" applyFont="1" applyBorder="1" applyProtection="1"/>
    <xf numFmtId="37" fontId="43" fillId="0" borderId="8" xfId="0" applyNumberFormat="1" applyFont="1" applyBorder="1" applyProtection="1"/>
    <xf numFmtId="37" fontId="43" fillId="2" borderId="108" xfId="0" applyNumberFormat="1" applyFont="1" applyFill="1" applyBorder="1" applyProtection="1"/>
    <xf numFmtId="37" fontId="43" fillId="0" borderId="13" xfId="0" applyNumberFormat="1" applyFont="1" applyBorder="1" applyProtection="1"/>
    <xf numFmtId="37" fontId="43" fillId="2" borderId="0" xfId="0" applyNumberFormat="1" applyFont="1" applyFill="1" applyBorder="1" applyProtection="1"/>
    <xf numFmtId="37" fontId="21" fillId="0" borderId="84" xfId="0" applyNumberFormat="1" applyFont="1" applyFill="1" applyBorder="1" applyProtection="1"/>
    <xf numFmtId="37" fontId="21" fillId="0" borderId="97" xfId="0" applyNumberFormat="1" applyFont="1" applyFill="1" applyBorder="1" applyAlignment="1" applyProtection="1">
      <alignment horizontal="right"/>
    </xf>
    <xf numFmtId="37" fontId="21" fillId="0" borderId="98" xfId="0" applyNumberFormat="1" applyFont="1" applyFill="1" applyBorder="1" applyProtection="1"/>
    <xf numFmtId="37" fontId="21" fillId="0" borderId="110" xfId="0" applyNumberFormat="1" applyFont="1" applyFill="1" applyBorder="1" applyProtection="1"/>
    <xf numFmtId="37" fontId="21" fillId="0" borderId="112" xfId="0" applyNumberFormat="1" applyFont="1" applyBorder="1" applyProtection="1"/>
    <xf numFmtId="37" fontId="21" fillId="0" borderId="113" xfId="0" applyNumberFormat="1" applyFont="1" applyBorder="1" applyProtection="1"/>
    <xf numFmtId="37" fontId="21" fillId="0" borderId="100" xfId="0" applyNumberFormat="1" applyFont="1" applyBorder="1" applyProtection="1"/>
    <xf numFmtId="37" fontId="21" fillId="0" borderId="42" xfId="0" applyNumberFormat="1" applyFont="1" applyBorder="1" applyProtection="1"/>
    <xf numFmtId="37" fontId="21" fillId="0" borderId="114" xfId="0" applyNumberFormat="1" applyFont="1" applyBorder="1" applyProtection="1"/>
    <xf numFmtId="165" fontId="19" fillId="7" borderId="115" xfId="0" applyNumberFormat="1" applyFont="1" applyFill="1" applyBorder="1" applyAlignment="1" applyProtection="1">
      <alignment horizontal="center"/>
    </xf>
    <xf numFmtId="167" fontId="39" fillId="4" borderId="19" xfId="0" applyNumberFormat="1" applyFont="1" applyFill="1" applyBorder="1" applyProtection="1"/>
    <xf numFmtId="10" fontId="39" fillId="4" borderId="19" xfId="0" applyNumberFormat="1" applyFont="1" applyFill="1" applyBorder="1" applyProtection="1"/>
    <xf numFmtId="37" fontId="0" fillId="0" borderId="0" xfId="0" applyNumberFormat="1" applyBorder="1" applyAlignment="1" applyProtection="1">
      <alignment horizontal="right"/>
    </xf>
    <xf numFmtId="0" fontId="0" fillId="0" borderId="116" xfId="0" applyBorder="1" applyAlignment="1">
      <alignment horizontal="right"/>
    </xf>
    <xf numFmtId="0" fontId="39" fillId="0" borderId="0" xfId="0" applyFont="1" applyAlignment="1">
      <alignment horizontal="left"/>
    </xf>
    <xf numFmtId="0" fontId="40" fillId="4" borderId="95" xfId="0" applyFont="1" applyFill="1" applyBorder="1" applyAlignment="1" applyProtection="1">
      <alignment horizontal="centerContinuous"/>
    </xf>
    <xf numFmtId="0" fontId="0" fillId="4" borderId="95" xfId="0" applyFill="1" applyBorder="1" applyAlignment="1" applyProtection="1">
      <alignment horizontal="centerContinuous"/>
    </xf>
    <xf numFmtId="0" fontId="39" fillId="0" borderId="0" xfId="0" applyFont="1" applyProtection="1"/>
    <xf numFmtId="9" fontId="0" fillId="0" borderId="0" xfId="4" applyFont="1" applyProtection="1"/>
    <xf numFmtId="0" fontId="6" fillId="0" borderId="63" xfId="0" applyFont="1" applyBorder="1" applyAlignment="1">
      <alignment horizontal="center"/>
    </xf>
    <xf numFmtId="0" fontId="57" fillId="0" borderId="4" xfId="0" applyFont="1" applyBorder="1"/>
    <xf numFmtId="0" fontId="57" fillId="0" borderId="10" xfId="0" applyFont="1" applyBorder="1"/>
    <xf numFmtId="0" fontId="57" fillId="0" borderId="17" xfId="0" applyFont="1" applyBorder="1"/>
    <xf numFmtId="0" fontId="57" fillId="0" borderId="5" xfId="0" applyFont="1" applyBorder="1"/>
    <xf numFmtId="37" fontId="57" fillId="0" borderId="5" xfId="0" applyNumberFormat="1" applyFont="1" applyBorder="1" applyProtection="1"/>
    <xf numFmtId="37" fontId="57" fillId="0" borderId="10" xfId="0" applyNumberFormat="1" applyFont="1" applyBorder="1" applyProtection="1"/>
    <xf numFmtId="37" fontId="57" fillId="0" borderId="17" xfId="0" applyNumberFormat="1" applyFont="1" applyBorder="1" applyProtection="1"/>
    <xf numFmtId="37" fontId="0" fillId="4" borderId="0" xfId="0" applyNumberFormat="1" applyFill="1" applyBorder="1" applyProtection="1"/>
    <xf numFmtId="0" fontId="6" fillId="0" borderId="4" xfId="0" applyFont="1" applyBorder="1" applyAlignment="1">
      <alignment horizontal="center"/>
    </xf>
    <xf numFmtId="0" fontId="57" fillId="4" borderId="85" xfId="0" applyFont="1" applyFill="1" applyBorder="1"/>
    <xf numFmtId="0" fontId="6" fillId="0" borderId="118" xfId="0" applyFont="1" applyBorder="1" applyAlignment="1">
      <alignment horizontal="center"/>
    </xf>
    <xf numFmtId="0" fontId="57" fillId="0" borderId="7" xfId="0" applyFont="1" applyBorder="1"/>
    <xf numFmtId="0" fontId="57" fillId="0" borderId="0" xfId="0" applyFont="1" applyBorder="1"/>
    <xf numFmtId="0" fontId="57" fillId="0" borderId="18" xfId="0" applyFont="1" applyBorder="1"/>
    <xf numFmtId="0" fontId="57" fillId="0" borderId="6" xfId="0" applyFont="1" applyBorder="1"/>
    <xf numFmtId="37" fontId="57" fillId="0" borderId="6" xfId="0" applyNumberFormat="1" applyFont="1" applyBorder="1" applyProtection="1"/>
    <xf numFmtId="37" fontId="57" fillId="0" borderId="0" xfId="0" applyNumberFormat="1" applyFont="1" applyBorder="1" applyProtection="1"/>
    <xf numFmtId="37" fontId="57" fillId="0" borderId="18" xfId="0" applyNumberFormat="1" applyFont="1" applyBorder="1" applyProtection="1"/>
    <xf numFmtId="0" fontId="6" fillId="0" borderId="7" xfId="0" applyFont="1" applyBorder="1" applyAlignment="1">
      <alignment horizontal="center"/>
    </xf>
    <xf numFmtId="37" fontId="57" fillId="4" borderId="85" xfId="0" applyNumberFormat="1" applyFont="1" applyFill="1" applyBorder="1" applyProtection="1"/>
    <xf numFmtId="37" fontId="57" fillId="4" borderId="0" xfId="0" applyNumberFormat="1" applyFont="1" applyFill="1" applyBorder="1" applyProtection="1"/>
    <xf numFmtId="0" fontId="0" fillId="0" borderId="118" xfId="0" applyBorder="1" applyAlignment="1">
      <alignment horizontal="center"/>
    </xf>
    <xf numFmtId="37" fontId="57" fillId="0" borderId="7" xfId="0" applyNumberFormat="1" applyFont="1" applyBorder="1" applyProtection="1"/>
    <xf numFmtId="169" fontId="0" fillId="0" borderId="118" xfId="0" applyNumberFormat="1" applyBorder="1" applyAlignment="1" applyProtection="1">
      <alignment horizontal="center"/>
    </xf>
    <xf numFmtId="169" fontId="0" fillId="0" borderId="7" xfId="0" applyNumberFormat="1" applyBorder="1" applyAlignment="1" applyProtection="1">
      <alignment horizontal="center"/>
    </xf>
    <xf numFmtId="169" fontId="0" fillId="0" borderId="118" xfId="0" applyNumberFormat="1" applyFill="1" applyBorder="1" applyAlignment="1" applyProtection="1">
      <alignment horizontal="center"/>
    </xf>
    <xf numFmtId="179" fontId="31" fillId="0" borderId="0" xfId="4" applyNumberFormat="1" applyFont="1" applyBorder="1" applyProtection="1"/>
    <xf numFmtId="0" fontId="0" fillId="0" borderId="0" xfId="0" applyBorder="1" applyProtection="1"/>
    <xf numFmtId="0" fontId="0" fillId="0" borderId="119" xfId="0" applyBorder="1" applyAlignment="1" applyProtection="1">
      <alignment horizontal="center"/>
    </xf>
    <xf numFmtId="3" fontId="0" fillId="0" borderId="0" xfId="0" applyNumberFormat="1" applyProtection="1"/>
    <xf numFmtId="3" fontId="39" fillId="0" borderId="0" xfId="0" applyNumberFormat="1" applyFont="1" applyBorder="1" applyProtection="1"/>
    <xf numFmtId="3" fontId="39" fillId="0" borderId="18" xfId="0" applyNumberFormat="1" applyFont="1" applyBorder="1"/>
    <xf numFmtId="37" fontId="22" fillId="0" borderId="15" xfId="0" applyNumberFormat="1" applyFont="1" applyBorder="1" applyProtection="1"/>
    <xf numFmtId="37" fontId="65" fillId="0" borderId="13" xfId="0" applyNumberFormat="1" applyFont="1" applyFill="1" applyBorder="1" applyProtection="1"/>
    <xf numFmtId="181" fontId="0" fillId="0" borderId="0" xfId="0" applyNumberFormat="1"/>
    <xf numFmtId="0" fontId="14" fillId="0" borderId="12" xfId="0" quotePrefix="1" applyFont="1" applyBorder="1" applyAlignment="1">
      <alignment horizontal="center"/>
    </xf>
    <xf numFmtId="0" fontId="0" fillId="0" borderId="94" xfId="0" applyBorder="1"/>
    <xf numFmtId="0" fontId="0" fillId="0" borderId="94" xfId="0" applyBorder="1" applyAlignment="1">
      <alignment horizontal="right"/>
    </xf>
    <xf numFmtId="0" fontId="0" fillId="0" borderId="95" xfId="0" applyBorder="1" applyAlignment="1">
      <alignment horizontal="right"/>
    </xf>
    <xf numFmtId="0" fontId="0" fillId="0" borderId="95" xfId="0" applyFill="1" applyBorder="1" applyAlignment="1">
      <alignment horizontal="right"/>
    </xf>
    <xf numFmtId="0" fontId="0" fillId="0" borderId="6" xfId="0" applyFill="1" applyBorder="1" applyAlignment="1" applyProtection="1">
      <alignment horizontal="center"/>
    </xf>
    <xf numFmtId="0" fontId="0" fillId="0" borderId="89" xfId="0" applyBorder="1" applyAlignment="1">
      <alignment horizontal="centerContinuous"/>
    </xf>
    <xf numFmtId="0" fontId="0" fillId="0" borderId="95" xfId="0" applyFill="1" applyBorder="1" applyAlignment="1">
      <alignment horizontal="center"/>
    </xf>
    <xf numFmtId="0" fontId="40" fillId="0" borderId="89" xfId="0" applyFont="1" applyBorder="1" applyAlignment="1">
      <alignment horizontal="centerContinuous"/>
    </xf>
    <xf numFmtId="0" fontId="37" fillId="0" borderId="0" xfId="0" applyFont="1"/>
    <xf numFmtId="0" fontId="37" fillId="0" borderId="0" xfId="0" applyFont="1" applyAlignment="1">
      <alignment horizontal="right"/>
    </xf>
    <xf numFmtId="0" fontId="68" fillId="0" borderId="0" xfId="2" applyFont="1" applyAlignment="1" applyProtection="1"/>
    <xf numFmtId="0" fontId="10" fillId="0" borderId="0" xfId="0" applyFont="1" applyAlignment="1">
      <alignment horizontal="center"/>
    </xf>
    <xf numFmtId="0" fontId="69" fillId="0" borderId="0" xfId="0" applyFont="1" applyAlignment="1">
      <alignment horizontal="center"/>
    </xf>
    <xf numFmtId="0" fontId="10" fillId="0" borderId="0" xfId="0" applyFont="1" applyAlignment="1">
      <alignment horizontal="right"/>
    </xf>
    <xf numFmtId="3" fontId="10" fillId="0" borderId="0" xfId="0" applyNumberFormat="1" applyFont="1"/>
    <xf numFmtId="3" fontId="69" fillId="0" borderId="0" xfId="0" applyNumberFormat="1" applyFont="1"/>
    <xf numFmtId="0" fontId="69" fillId="0" borderId="0" xfId="0" applyFont="1"/>
    <xf numFmtId="0" fontId="40" fillId="0" borderId="95" xfId="0" applyFont="1" applyBorder="1" applyAlignment="1">
      <alignment horizontal="right"/>
    </xf>
    <xf numFmtId="0" fontId="0" fillId="0" borderId="89" xfId="0" applyBorder="1" applyAlignment="1" applyProtection="1">
      <alignment horizontal="right"/>
    </xf>
    <xf numFmtId="9" fontId="0" fillId="0" borderId="89" xfId="4" applyFont="1" applyBorder="1" applyAlignment="1" applyProtection="1">
      <alignment horizontal="right"/>
    </xf>
    <xf numFmtId="0" fontId="0" fillId="0" borderId="0" xfId="0" quotePrefix="1" applyBorder="1" applyAlignment="1" applyProtection="1">
      <alignment horizontal="right"/>
    </xf>
    <xf numFmtId="0" fontId="0" fillId="0" borderId="0" xfId="0" quotePrefix="1" applyFill="1" applyBorder="1" applyAlignment="1" applyProtection="1">
      <alignment horizontal="right"/>
    </xf>
    <xf numFmtId="182" fontId="0" fillId="0" borderId="0" xfId="0" applyNumberFormat="1" applyAlignment="1" applyProtection="1">
      <alignment horizontal="right"/>
    </xf>
    <xf numFmtId="9" fontId="0" fillId="0" borderId="95" xfId="4" applyFont="1" applyBorder="1" applyAlignment="1" applyProtection="1">
      <alignment horizontal="right"/>
    </xf>
    <xf numFmtId="0" fontId="0" fillId="0" borderId="94" xfId="0" applyBorder="1" applyProtection="1"/>
    <xf numFmtId="0" fontId="0" fillId="0" borderId="94" xfId="0" applyBorder="1" applyAlignment="1" applyProtection="1">
      <alignment horizontal="right"/>
    </xf>
    <xf numFmtId="0" fontId="0" fillId="0" borderId="94" xfId="0" applyBorder="1" applyAlignment="1" applyProtection="1">
      <alignment horizontal="center"/>
    </xf>
    <xf numFmtId="0" fontId="0" fillId="0" borderId="0" xfId="0" applyBorder="1" applyAlignment="1" applyProtection="1">
      <alignment horizontal="center"/>
    </xf>
    <xf numFmtId="0" fontId="0" fillId="0" borderId="95" xfId="0" applyBorder="1" applyAlignment="1" applyProtection="1">
      <alignment horizontal="center"/>
    </xf>
    <xf numFmtId="0" fontId="0" fillId="0" borderId="95" xfId="0" applyBorder="1" applyAlignment="1" applyProtection="1">
      <alignment horizontal="right"/>
    </xf>
    <xf numFmtId="0" fontId="40" fillId="4" borderId="89" xfId="0" applyFont="1" applyFill="1" applyBorder="1" applyAlignment="1" applyProtection="1">
      <alignment horizontal="centerContinuous"/>
    </xf>
    <xf numFmtId="0" fontId="0" fillId="4" borderId="89" xfId="0" applyFill="1" applyBorder="1" applyAlignment="1" applyProtection="1">
      <alignment horizontal="centerContinuous"/>
    </xf>
    <xf numFmtId="177" fontId="39" fillId="4" borderId="0" xfId="0" applyNumberFormat="1" applyFont="1" applyFill="1" applyBorder="1" applyProtection="1"/>
    <xf numFmtId="177" fontId="39" fillId="0" borderId="0" xfId="0" applyNumberFormat="1" applyFont="1" applyFill="1" applyBorder="1" applyProtection="1"/>
    <xf numFmtId="0" fontId="0" fillId="0" borderId="0" xfId="0" applyFill="1" applyBorder="1" applyProtection="1"/>
    <xf numFmtId="0" fontId="0" fillId="0" borderId="95" xfId="0" applyFill="1" applyBorder="1" applyProtection="1"/>
    <xf numFmtId="0" fontId="40" fillId="0" borderId="0" xfId="0" applyFont="1" applyProtection="1"/>
    <xf numFmtId="0" fontId="0" fillId="0" borderId="94" xfId="0" applyFill="1" applyBorder="1" applyProtection="1"/>
    <xf numFmtId="177" fontId="39" fillId="4" borderId="94" xfId="0" applyNumberFormat="1" applyFont="1" applyFill="1" applyBorder="1" applyProtection="1"/>
    <xf numFmtId="177" fontId="39" fillId="4" borderId="95" xfId="0" applyNumberFormat="1" applyFont="1" applyFill="1" applyBorder="1" applyProtection="1"/>
    <xf numFmtId="0" fontId="0" fillId="0" borderId="0" xfId="0" quotePrefix="1" applyBorder="1" applyAlignment="1" applyProtection="1">
      <alignment horizontal="center"/>
    </xf>
    <xf numFmtId="180" fontId="0" fillId="0" borderId="0" xfId="0" quotePrefix="1" applyNumberFormat="1" applyBorder="1" applyAlignment="1" applyProtection="1">
      <alignment horizontal="center"/>
    </xf>
    <xf numFmtId="177" fontId="32" fillId="0" borderId="0" xfId="0" applyNumberFormat="1" applyFont="1" applyFill="1" applyBorder="1" applyAlignment="1" applyProtection="1">
      <alignment horizontal="right"/>
    </xf>
    <xf numFmtId="0" fontId="0" fillId="0" borderId="94" xfId="0" quotePrefix="1" applyBorder="1" applyAlignment="1" applyProtection="1">
      <alignment horizontal="center"/>
    </xf>
    <xf numFmtId="0" fontId="0" fillId="0" borderId="95" xfId="0" applyBorder="1" applyProtection="1"/>
    <xf numFmtId="0" fontId="0" fillId="0" borderId="95" xfId="0" quotePrefix="1" applyBorder="1" applyAlignment="1" applyProtection="1">
      <alignment horizontal="center"/>
    </xf>
    <xf numFmtId="0" fontId="0" fillId="0" borderId="95" xfId="0" applyBorder="1"/>
    <xf numFmtId="0" fontId="0" fillId="4" borderId="94" xfId="0" applyFill="1" applyBorder="1" applyAlignment="1">
      <alignment horizontal="right"/>
    </xf>
    <xf numFmtId="0" fontId="0" fillId="4" borderId="95" xfId="0" applyFill="1" applyBorder="1" applyAlignment="1">
      <alignment horizontal="right"/>
    </xf>
    <xf numFmtId="37" fontId="0" fillId="0" borderId="33" xfId="0" applyNumberFormat="1" applyBorder="1"/>
    <xf numFmtId="0" fontId="10" fillId="0" borderId="0" xfId="0" applyFont="1" applyFill="1" applyAlignment="1">
      <alignment horizontal="center"/>
    </xf>
    <xf numFmtId="37" fontId="9" fillId="0" borderId="0" xfId="0" applyNumberFormat="1" applyFont="1" applyFill="1"/>
    <xf numFmtId="0" fontId="69" fillId="0" borderId="0" xfId="0" applyFont="1" applyFill="1"/>
    <xf numFmtId="0" fontId="10" fillId="0" borderId="0" xfId="0" applyFont="1" applyFill="1"/>
    <xf numFmtId="0" fontId="69" fillId="0" borderId="0" xfId="0" applyFont="1" applyFill="1" applyAlignment="1">
      <alignment horizontal="center"/>
    </xf>
    <xf numFmtId="0" fontId="69" fillId="0" borderId="94" xfId="0" applyFont="1" applyBorder="1"/>
    <xf numFmtId="3" fontId="39" fillId="0" borderId="0" xfId="0" applyNumberFormat="1" applyFont="1" applyBorder="1"/>
    <xf numFmtId="37" fontId="21" fillId="3" borderId="120" xfId="0" applyNumberFormat="1" applyFont="1" applyFill="1" applyBorder="1" applyProtection="1"/>
    <xf numFmtId="37" fontId="21" fillId="7" borderId="120" xfId="0" applyNumberFormat="1" applyFont="1" applyFill="1" applyBorder="1" applyProtection="1"/>
    <xf numFmtId="37" fontId="21" fillId="7" borderId="121" xfId="0" applyNumberFormat="1" applyFont="1" applyFill="1" applyBorder="1" applyProtection="1"/>
    <xf numFmtId="37" fontId="21" fillId="2" borderId="122" xfId="0" applyNumberFormat="1" applyFont="1" applyFill="1" applyBorder="1" applyProtection="1"/>
    <xf numFmtId="180" fontId="21" fillId="0" borderId="123" xfId="1" applyNumberFormat="1" applyFont="1" applyFill="1" applyBorder="1" applyAlignment="1" applyProtection="1">
      <alignment horizontal="center"/>
    </xf>
    <xf numFmtId="37" fontId="21" fillId="2" borderId="124" xfId="0" applyNumberFormat="1" applyFont="1" applyFill="1" applyBorder="1" applyProtection="1"/>
    <xf numFmtId="167" fontId="21" fillId="2" borderId="125" xfId="0" applyNumberFormat="1" applyFont="1" applyFill="1" applyBorder="1" applyAlignment="1" applyProtection="1">
      <alignment horizontal="center"/>
    </xf>
    <xf numFmtId="165" fontId="21" fillId="2" borderId="126" xfId="0" applyNumberFormat="1" applyFont="1" applyFill="1" applyBorder="1" applyAlignment="1" applyProtection="1">
      <alignment horizontal="center"/>
    </xf>
    <xf numFmtId="37" fontId="21" fillId="2" borderId="127" xfId="0" applyNumberFormat="1" applyFont="1" applyFill="1" applyBorder="1" applyProtection="1"/>
    <xf numFmtId="180" fontId="21" fillId="0" borderId="128" xfId="1" applyNumberFormat="1" applyFont="1" applyFill="1" applyBorder="1" applyAlignment="1" applyProtection="1">
      <alignment horizontal="center"/>
    </xf>
    <xf numFmtId="37" fontId="21" fillId="2" borderId="129" xfId="0" applyNumberFormat="1" applyFont="1" applyFill="1" applyBorder="1" applyProtection="1"/>
    <xf numFmtId="167" fontId="21" fillId="0" borderId="130" xfId="0" applyNumberFormat="1" applyFont="1" applyFill="1" applyBorder="1" applyAlignment="1" applyProtection="1">
      <alignment horizontal="center"/>
    </xf>
    <xf numFmtId="165" fontId="21" fillId="0" borderId="131" xfId="0" applyNumberFormat="1" applyFont="1" applyFill="1" applyBorder="1" applyAlignment="1" applyProtection="1">
      <alignment horizontal="center"/>
    </xf>
    <xf numFmtId="37" fontId="21" fillId="0" borderId="13" xfId="0" applyNumberFormat="1" applyFont="1" applyFill="1" applyBorder="1" applyProtection="1"/>
    <xf numFmtId="37" fontId="21" fillId="0" borderId="0" xfId="0" applyNumberFormat="1" applyFont="1" applyFill="1" applyBorder="1" applyProtection="1"/>
    <xf numFmtId="37" fontId="21" fillId="0" borderId="14" xfId="0" applyNumberFormat="1" applyFont="1" applyFill="1" applyBorder="1" applyProtection="1"/>
    <xf numFmtId="167" fontId="21" fillId="0" borderId="10" xfId="0" applyNumberFormat="1" applyFont="1" applyFill="1" applyBorder="1" applyAlignment="1" applyProtection="1">
      <alignment horizontal="center"/>
    </xf>
    <xf numFmtId="165" fontId="21" fillId="0" borderId="10" xfId="0" applyNumberFormat="1" applyFont="1" applyFill="1" applyBorder="1" applyAlignment="1" applyProtection="1">
      <alignment horizontal="center"/>
    </xf>
    <xf numFmtId="37" fontId="21" fillId="4" borderId="59" xfId="0" applyNumberFormat="1" applyFont="1" applyFill="1" applyBorder="1" applyProtection="1"/>
    <xf numFmtId="37" fontId="21" fillId="4" borderId="12" xfId="0" applyNumberFormat="1" applyFont="1" applyFill="1" applyBorder="1" applyProtection="1"/>
    <xf numFmtId="37" fontId="21" fillId="4" borderId="60" xfId="0" applyNumberFormat="1" applyFont="1" applyFill="1" applyBorder="1" applyProtection="1"/>
    <xf numFmtId="167" fontId="21" fillId="4" borderId="12" xfId="0" applyNumberFormat="1" applyFont="1" applyFill="1" applyBorder="1" applyAlignment="1" applyProtection="1">
      <alignment horizontal="center"/>
    </xf>
    <xf numFmtId="165" fontId="21" fillId="0" borderId="12" xfId="0" applyNumberFormat="1" applyFont="1" applyFill="1" applyBorder="1" applyAlignment="1" applyProtection="1">
      <alignment horizontal="center"/>
    </xf>
    <xf numFmtId="167" fontId="21" fillId="0" borderId="0" xfId="0" applyNumberFormat="1" applyFont="1" applyFill="1" applyBorder="1" applyAlignment="1" applyProtection="1">
      <alignment horizontal="center"/>
    </xf>
    <xf numFmtId="165" fontId="21" fillId="0" borderId="0" xfId="0" applyNumberFormat="1" applyFont="1" applyFill="1" applyBorder="1" applyAlignment="1" applyProtection="1">
      <alignment horizontal="center"/>
    </xf>
    <xf numFmtId="37" fontId="21" fillId="4" borderId="13" xfId="0" applyNumberFormat="1" applyFont="1" applyFill="1" applyBorder="1" applyProtection="1"/>
    <xf numFmtId="37" fontId="21" fillId="4" borderId="0" xfId="0" applyNumberFormat="1" applyFont="1" applyFill="1" applyBorder="1" applyProtection="1"/>
    <xf numFmtId="37" fontId="21" fillId="4" borderId="14" xfId="0" applyNumberFormat="1" applyFont="1" applyFill="1" applyBorder="1" applyProtection="1"/>
    <xf numFmtId="167" fontId="21" fillId="4" borderId="0" xfId="0" applyNumberFormat="1" applyFont="1" applyFill="1" applyBorder="1" applyAlignment="1" applyProtection="1">
      <alignment horizontal="center"/>
    </xf>
    <xf numFmtId="11" fontId="21" fillId="2" borderId="126" xfId="0" applyNumberFormat="1" applyFont="1" applyFill="1" applyBorder="1" applyAlignment="1" applyProtection="1">
      <alignment horizontal="center"/>
    </xf>
    <xf numFmtId="166" fontId="21" fillId="2" borderId="132" xfId="0" applyNumberFormat="1" applyFont="1" applyFill="1" applyBorder="1" applyAlignment="1" applyProtection="1">
      <alignment horizontal="center"/>
    </xf>
    <xf numFmtId="11" fontId="21" fillId="0" borderId="131" xfId="0" applyNumberFormat="1" applyFont="1" applyFill="1" applyBorder="1" applyAlignment="1" applyProtection="1">
      <alignment horizontal="center"/>
    </xf>
    <xf numFmtId="166" fontId="21" fillId="0" borderId="133" xfId="0" applyNumberFormat="1" applyFont="1" applyFill="1" applyBorder="1" applyAlignment="1" applyProtection="1">
      <alignment horizontal="center"/>
    </xf>
    <xf numFmtId="11" fontId="21" fillId="0" borderId="10" xfId="0" applyNumberFormat="1" applyFont="1" applyFill="1" applyBorder="1" applyAlignment="1" applyProtection="1">
      <alignment horizontal="center"/>
    </xf>
    <xf numFmtId="166" fontId="21" fillId="0" borderId="64" xfId="0" applyNumberFormat="1" applyFont="1" applyFill="1" applyBorder="1" applyAlignment="1" applyProtection="1">
      <alignment horizontal="center"/>
    </xf>
    <xf numFmtId="11" fontId="21" fillId="0" borderId="12" xfId="0" applyNumberFormat="1" applyFont="1" applyFill="1" applyBorder="1" applyAlignment="1" applyProtection="1">
      <alignment horizontal="center"/>
    </xf>
    <xf numFmtId="166" fontId="21" fillId="0" borderId="66" xfId="0" applyNumberFormat="1" applyFont="1" applyFill="1" applyBorder="1" applyAlignment="1" applyProtection="1">
      <alignment horizontal="center"/>
    </xf>
    <xf numFmtId="11" fontId="21" fillId="0" borderId="0" xfId="0" applyNumberFormat="1" applyFont="1" applyFill="1" applyBorder="1" applyAlignment="1" applyProtection="1">
      <alignment horizontal="center"/>
    </xf>
    <xf numFmtId="166" fontId="21" fillId="0" borderId="34" xfId="0" applyNumberFormat="1" applyFont="1" applyFill="1" applyBorder="1" applyAlignment="1" applyProtection="1">
      <alignment horizontal="center"/>
    </xf>
    <xf numFmtId="37" fontId="21" fillId="2" borderId="4" xfId="0" applyNumberFormat="1" applyFont="1" applyFill="1" applyBorder="1" applyProtection="1"/>
    <xf numFmtId="37" fontId="21" fillId="2" borderId="7" xfId="0" applyNumberFormat="1" applyFont="1" applyFill="1" applyBorder="1" applyProtection="1"/>
    <xf numFmtId="167" fontId="21" fillId="0" borderId="12" xfId="0" applyNumberFormat="1" applyFont="1" applyFill="1" applyBorder="1" applyAlignment="1" applyProtection="1">
      <alignment horizontal="center"/>
    </xf>
    <xf numFmtId="37" fontId="21" fillId="7" borderId="7" xfId="0" applyNumberFormat="1" applyFont="1" applyFill="1" applyBorder="1" applyProtection="1"/>
    <xf numFmtId="0" fontId="74" fillId="0" borderId="134" xfId="0" applyFont="1" applyBorder="1" applyAlignment="1">
      <alignment horizontal="centerContinuous"/>
    </xf>
    <xf numFmtId="0" fontId="74" fillId="0" borderId="135" xfId="0" applyFont="1" applyBorder="1" applyAlignment="1">
      <alignment horizontal="centerContinuous"/>
    </xf>
    <xf numFmtId="0" fontId="74" fillId="0" borderId="136" xfId="0" applyFont="1" applyBorder="1" applyAlignment="1">
      <alignment horizontal="centerContinuous"/>
    </xf>
    <xf numFmtId="0" fontId="74" fillId="0" borderId="65" xfId="0" applyFont="1" applyBorder="1" applyAlignment="1">
      <alignment horizontal="centerContinuous"/>
    </xf>
    <xf numFmtId="0" fontId="74" fillId="0" borderId="106" xfId="0" applyFont="1" applyBorder="1" applyAlignment="1">
      <alignment horizontal="centerContinuous"/>
    </xf>
    <xf numFmtId="0" fontId="74" fillId="0" borderId="137" xfId="0" applyFont="1" applyBorder="1" applyAlignment="1">
      <alignment horizontal="centerContinuous"/>
    </xf>
    <xf numFmtId="37" fontId="21" fillId="0" borderId="138" xfId="0" applyNumberFormat="1" applyFont="1" applyBorder="1" applyProtection="1"/>
    <xf numFmtId="37" fontId="75" fillId="0" borderId="111" xfId="0" applyNumberFormat="1" applyFont="1" applyFill="1" applyBorder="1" applyProtection="1"/>
    <xf numFmtId="37" fontId="75" fillId="0" borderId="24" xfId="0" applyNumberFormat="1" applyFont="1" applyFill="1" applyBorder="1" applyProtection="1"/>
    <xf numFmtId="37" fontId="75" fillId="0" borderId="139" xfId="0" applyNumberFormat="1" applyFont="1" applyFill="1" applyBorder="1" applyProtection="1"/>
    <xf numFmtId="37" fontId="21" fillId="0" borderId="22" xfId="0" applyNumberFormat="1" applyFont="1" applyBorder="1" applyProtection="1"/>
    <xf numFmtId="37" fontId="21" fillId="0" borderId="44" xfId="0" applyNumberFormat="1" applyFont="1" applyBorder="1" applyProtection="1"/>
    <xf numFmtId="165" fontId="21" fillId="7" borderId="40" xfId="0" applyNumberFormat="1" applyFont="1" applyFill="1" applyBorder="1" applyAlignment="1" applyProtection="1">
      <alignment horizontal="center"/>
    </xf>
    <xf numFmtId="165" fontId="21" fillId="7" borderId="142" xfId="0" applyNumberFormat="1" applyFont="1" applyFill="1" applyBorder="1" applyAlignment="1" applyProtection="1">
      <alignment horizontal="center"/>
    </xf>
    <xf numFmtId="37" fontId="39" fillId="0" borderId="28" xfId="0" applyNumberFormat="1" applyFont="1" applyBorder="1" applyAlignment="1" applyProtection="1">
      <alignment horizontal="right"/>
    </xf>
    <xf numFmtId="0" fontId="49" fillId="4" borderId="0" xfId="0" applyFont="1" applyFill="1" applyAlignment="1">
      <alignment horizontal="center" vertical="center"/>
    </xf>
    <xf numFmtId="174" fontId="0" fillId="0" borderId="0" xfId="0" applyNumberFormat="1" applyBorder="1" applyProtection="1"/>
    <xf numFmtId="174" fontId="0" fillId="0" borderId="0" xfId="0" applyNumberFormat="1" applyBorder="1" applyAlignment="1" applyProtection="1">
      <alignment horizontal="right"/>
    </xf>
    <xf numFmtId="3" fontId="0" fillId="0" borderId="8" xfId="0" applyNumberFormat="1" applyBorder="1" applyAlignment="1" applyProtection="1">
      <alignment horizontal="right"/>
    </xf>
    <xf numFmtId="2" fontId="39" fillId="0" borderId="0" xfId="0" applyNumberFormat="1" applyFont="1"/>
    <xf numFmtId="2" fontId="39" fillId="4" borderId="0" xfId="0" applyNumberFormat="1" applyFont="1" applyFill="1"/>
    <xf numFmtId="167" fontId="39" fillId="0" borderId="0" xfId="0" applyNumberFormat="1" applyFont="1" applyBorder="1" applyAlignment="1" applyProtection="1">
      <alignment horizontal="center"/>
    </xf>
    <xf numFmtId="0" fontId="0" fillId="0" borderId="0" xfId="0" applyFill="1" applyProtection="1"/>
    <xf numFmtId="0" fontId="0" fillId="0" borderId="0" xfId="0" applyFill="1" applyAlignment="1" applyProtection="1">
      <alignment horizontal="right"/>
    </xf>
    <xf numFmtId="0" fontId="0" fillId="0" borderId="0" xfId="0" applyFill="1" applyBorder="1" applyAlignment="1" applyProtection="1">
      <alignment horizontal="centerContinuous"/>
    </xf>
    <xf numFmtId="0" fontId="0" fillId="0" borderId="0" xfId="0" applyFill="1" applyBorder="1" applyAlignment="1" applyProtection="1">
      <alignment horizontal="center"/>
    </xf>
    <xf numFmtId="167" fontId="39" fillId="0" borderId="0" xfId="0" applyNumberFormat="1" applyFont="1" applyFill="1" applyBorder="1" applyAlignment="1" applyProtection="1">
      <alignment horizontal="center"/>
    </xf>
    <xf numFmtId="10" fontId="0" fillId="0" borderId="0" xfId="0" applyNumberFormat="1" applyFill="1" applyBorder="1" applyProtection="1"/>
    <xf numFmtId="10" fontId="39" fillId="0" borderId="0" xfId="0" applyNumberFormat="1" applyFont="1" applyFill="1" applyBorder="1" applyProtection="1"/>
    <xf numFmtId="167" fontId="39" fillId="0" borderId="0" xfId="0" applyNumberFormat="1" applyFont="1" applyFill="1" applyBorder="1" applyProtection="1"/>
    <xf numFmtId="179" fontId="31" fillId="0" borderId="0" xfId="4" applyNumberFormat="1" applyFont="1" applyFill="1" applyBorder="1" applyProtection="1"/>
    <xf numFmtId="0" fontId="0" fillId="0" borderId="0" xfId="0" applyFill="1"/>
    <xf numFmtId="0" fontId="0" fillId="0" borderId="0" xfId="0" applyBorder="1" applyAlignment="1"/>
    <xf numFmtId="0" fontId="57" fillId="0" borderId="0" xfId="3" applyFont="1"/>
    <xf numFmtId="0" fontId="79" fillId="0" borderId="0" xfId="3"/>
    <xf numFmtId="0" fontId="81" fillId="0" borderId="0" xfId="3" applyFont="1"/>
    <xf numFmtId="0" fontId="82" fillId="0" borderId="0" xfId="0" applyFont="1"/>
    <xf numFmtId="0" fontId="82" fillId="0" borderId="94" xfId="0" applyFont="1" applyBorder="1"/>
    <xf numFmtId="0" fontId="82" fillId="0" borderId="95" xfId="0" applyFont="1" applyBorder="1"/>
    <xf numFmtId="0" fontId="39" fillId="0" borderId="94" xfId="0" applyFont="1" applyBorder="1" applyAlignment="1">
      <alignment horizontal="right"/>
    </xf>
    <xf numFmtId="37" fontId="25" fillId="0" borderId="6" xfId="0" applyNumberFormat="1" applyFont="1" applyBorder="1" applyProtection="1"/>
    <xf numFmtId="37" fontId="25" fillId="0" borderId="18" xfId="0" applyNumberFormat="1" applyFont="1" applyBorder="1" applyProtection="1"/>
    <xf numFmtId="182" fontId="39" fillId="0" borderId="0" xfId="0" applyNumberFormat="1" applyFont="1"/>
    <xf numFmtId="183" fontId="39" fillId="0" borderId="0" xfId="0" applyNumberFormat="1" applyFont="1"/>
    <xf numFmtId="169" fontId="32" fillId="0" borderId="0" xfId="0" quotePrefix="1" applyNumberFormat="1" applyFont="1" applyAlignment="1" applyProtection="1">
      <alignment horizontal="center"/>
    </xf>
    <xf numFmtId="169" fontId="32" fillId="0" borderId="0" xfId="0" applyNumberFormat="1" applyFont="1" applyAlignment="1" applyProtection="1">
      <alignment horizontal="center"/>
    </xf>
    <xf numFmtId="169" fontId="39" fillId="0" borderId="7" xfId="0" applyNumberFormat="1" applyFont="1" applyBorder="1" applyAlignment="1" applyProtection="1">
      <alignment horizontal="center"/>
    </xf>
    <xf numFmtId="169" fontId="39" fillId="0" borderId="0" xfId="0" applyNumberFormat="1" applyFont="1" applyAlignment="1" applyProtection="1">
      <alignment horizontal="center"/>
    </xf>
    <xf numFmtId="37" fontId="39" fillId="0" borderId="0" xfId="0" applyNumberFormat="1" applyFont="1" applyAlignment="1" applyProtection="1">
      <alignment horizontal="center"/>
    </xf>
    <xf numFmtId="3" fontId="8" fillId="0" borderId="0" xfId="0" applyNumberFormat="1" applyFont="1" applyFill="1"/>
    <xf numFmtId="37" fontId="8" fillId="0" borderId="0" xfId="0" applyNumberFormat="1" applyFont="1" applyFill="1"/>
    <xf numFmtId="172" fontId="39" fillId="0" borderId="0" xfId="0" applyNumberFormat="1" applyFont="1"/>
    <xf numFmtId="0" fontId="64" fillId="0" borderId="24" xfId="0" applyFont="1" applyBorder="1" applyAlignment="1">
      <alignment horizontal="center"/>
    </xf>
    <xf numFmtId="9" fontId="0" fillId="0" borderId="0" xfId="0" applyNumberFormat="1"/>
    <xf numFmtId="10" fontId="0" fillId="0" borderId="0" xfId="0" applyNumberFormat="1"/>
    <xf numFmtId="0" fontId="84" fillId="0" borderId="0" xfId="0" applyFont="1"/>
    <xf numFmtId="0" fontId="35" fillId="0" borderId="0" xfId="0" applyFont="1" applyAlignment="1">
      <alignment horizontal="center"/>
    </xf>
    <xf numFmtId="9" fontId="0" fillId="4" borderId="0" xfId="0" applyNumberFormat="1" applyFill="1"/>
    <xf numFmtId="165" fontId="0" fillId="4" borderId="0" xfId="0" applyNumberFormat="1" applyFill="1" applyProtection="1"/>
    <xf numFmtId="9" fontId="0" fillId="0" borderId="0" xfId="0" applyNumberFormat="1" applyBorder="1"/>
    <xf numFmtId="0" fontId="14" fillId="0" borderId="143" xfId="0" quotePrefix="1" applyFont="1" applyBorder="1" applyAlignment="1">
      <alignment horizontal="centerContinuous"/>
    </xf>
    <xf numFmtId="0" fontId="39" fillId="0" borderId="0" xfId="0" applyFont="1" applyAlignment="1">
      <alignment horizontal="center"/>
    </xf>
    <xf numFmtId="37" fontId="25" fillId="0" borderId="5" xfId="0" applyNumberFormat="1" applyFont="1" applyBorder="1" applyProtection="1"/>
    <xf numFmtId="182" fontId="39" fillId="0" borderId="95" xfId="0" applyNumberFormat="1" applyFont="1" applyBorder="1"/>
    <xf numFmtId="37" fontId="39" fillId="0" borderId="95" xfId="0" applyNumberFormat="1" applyFont="1" applyBorder="1"/>
    <xf numFmtId="3" fontId="39" fillId="0" borderId="0" xfId="0" applyNumberFormat="1" applyFont="1" applyAlignment="1">
      <alignment horizontal="right"/>
    </xf>
    <xf numFmtId="0" fontId="69" fillId="0" borderId="0" xfId="0" applyFont="1" applyAlignment="1">
      <alignment horizontal="right"/>
    </xf>
    <xf numFmtId="0" fontId="15" fillId="4" borderId="0" xfId="0" applyFont="1" applyFill="1" applyAlignment="1">
      <alignment horizontal="center"/>
    </xf>
    <xf numFmtId="0" fontId="85" fillId="0" borderId="94" xfId="0" applyFont="1" applyBorder="1"/>
    <xf numFmtId="0" fontId="10" fillId="0" borderId="94" xfId="0" applyFont="1" applyBorder="1"/>
    <xf numFmtId="0" fontId="10" fillId="0" borderId="89" xfId="0" applyFont="1" applyBorder="1" applyAlignment="1">
      <alignment horizontal="centerContinuous"/>
    </xf>
    <xf numFmtId="0" fontId="10" fillId="0" borderId="94" xfId="0" applyFont="1" applyBorder="1" applyAlignment="1">
      <alignment horizontal="center"/>
    </xf>
    <xf numFmtId="0" fontId="10" fillId="0" borderId="95" xfId="0" applyFont="1" applyBorder="1"/>
    <xf numFmtId="0" fontId="10" fillId="0" borderId="95" xfId="0" applyFont="1" applyBorder="1" applyAlignment="1">
      <alignment horizontal="center"/>
    </xf>
    <xf numFmtId="0" fontId="10" fillId="0" borderId="95" xfId="0" applyFont="1" applyBorder="1" applyAlignment="1">
      <alignment horizontal="right"/>
    </xf>
    <xf numFmtId="0" fontId="10" fillId="0" borderId="95" xfId="0" applyFont="1" applyFill="1" applyBorder="1" applyAlignment="1">
      <alignment horizontal="center"/>
    </xf>
    <xf numFmtId="0" fontId="8" fillId="0" borderId="0" xfId="0" applyFont="1" applyAlignment="1">
      <alignment horizontal="center"/>
    </xf>
    <xf numFmtId="37" fontId="69" fillId="0" borderId="0" xfId="0" applyNumberFormat="1" applyFont="1"/>
    <xf numFmtId="10" fontId="69" fillId="0" borderId="0" xfId="4" applyNumberFormat="1" applyFont="1"/>
    <xf numFmtId="0" fontId="10" fillId="0" borderId="89" xfId="0" applyFont="1" applyBorder="1"/>
    <xf numFmtId="0" fontId="10" fillId="0" borderId="89" xfId="0" applyFont="1" applyBorder="1" applyAlignment="1">
      <alignment horizontal="center"/>
    </xf>
    <xf numFmtId="37" fontId="69" fillId="0" borderId="89" xfId="0" applyNumberFormat="1" applyFont="1" applyBorder="1"/>
    <xf numFmtId="0" fontId="69" fillId="0" borderId="0" xfId="0" applyFont="1" applyBorder="1" applyAlignment="1">
      <alignment horizontal="center"/>
    </xf>
    <xf numFmtId="0" fontId="10" fillId="0" borderId="0" xfId="0" applyFont="1" applyBorder="1" applyAlignment="1">
      <alignment horizontal="center"/>
    </xf>
    <xf numFmtId="37" fontId="69" fillId="0" borderId="0" xfId="0" applyNumberFormat="1" applyFont="1" applyBorder="1"/>
    <xf numFmtId="0" fontId="69" fillId="0" borderId="95" xfId="0" applyFont="1" applyBorder="1" applyAlignment="1">
      <alignment horizontal="center"/>
    </xf>
    <xf numFmtId="37" fontId="69" fillId="0" borderId="95" xfId="0" applyNumberFormat="1" applyFont="1" applyBorder="1"/>
    <xf numFmtId="37" fontId="69" fillId="0" borderId="94" xfId="0" applyNumberFormat="1" applyFont="1" applyBorder="1"/>
    <xf numFmtId="0" fontId="69" fillId="0" borderId="0" xfId="0" applyFont="1" applyBorder="1"/>
    <xf numFmtId="10" fontId="69" fillId="0" borderId="0" xfId="4" applyNumberFormat="1" applyFont="1" applyBorder="1"/>
    <xf numFmtId="0" fontId="69" fillId="0" borderId="95" xfId="0" applyFont="1" applyBorder="1"/>
    <xf numFmtId="0" fontId="86" fillId="0" borderId="0" xfId="0" applyFont="1"/>
    <xf numFmtId="0" fontId="8" fillId="0" borderId="0" xfId="0" applyFont="1" applyBorder="1" applyAlignment="1">
      <alignment horizontal="center"/>
    </xf>
    <xf numFmtId="3" fontId="87" fillId="0" borderId="0" xfId="0" applyNumberFormat="1" applyFont="1"/>
    <xf numFmtId="0" fontId="10" fillId="0" borderId="95" xfId="0" quotePrefix="1" applyFont="1" applyBorder="1" applyAlignment="1">
      <alignment horizontal="center"/>
    </xf>
    <xf numFmtId="0" fontId="10" fillId="4" borderId="0" xfId="0" applyFont="1" applyFill="1" applyAlignment="1">
      <alignment horizontal="center"/>
    </xf>
    <xf numFmtId="3" fontId="69" fillId="0" borderId="0" xfId="0" applyNumberFormat="1" applyFont="1" applyAlignment="1">
      <alignment horizontal="right"/>
    </xf>
    <xf numFmtId="3" fontId="69" fillId="0" borderId="0" xfId="0" applyNumberFormat="1" applyFont="1" applyBorder="1"/>
    <xf numFmtId="3" fontId="69" fillId="0" borderId="95" xfId="0" applyNumberFormat="1" applyFont="1" applyBorder="1"/>
    <xf numFmtId="0" fontId="10" fillId="0" borderId="94" xfId="0" applyFont="1" applyBorder="1" applyAlignment="1">
      <alignment horizontal="centerContinuous"/>
    </xf>
    <xf numFmtId="0" fontId="0" fillId="0" borderId="94" xfId="0" applyBorder="1" applyAlignment="1">
      <alignment horizontal="centerContinuous"/>
    </xf>
    <xf numFmtId="0" fontId="10" fillId="4" borderId="95" xfId="0" applyFont="1" applyFill="1" applyBorder="1" applyAlignment="1">
      <alignment horizontal="right"/>
    </xf>
    <xf numFmtId="0" fontId="10" fillId="0" borderId="95" xfId="0" applyFont="1" applyFill="1" applyBorder="1" applyAlignment="1">
      <alignment horizontal="right"/>
    </xf>
    <xf numFmtId="0" fontId="10" fillId="0" borderId="0" xfId="0" quotePrefix="1" applyFont="1" applyBorder="1" applyAlignment="1">
      <alignment horizontal="center"/>
    </xf>
    <xf numFmtId="0" fontId="69" fillId="0" borderId="0" xfId="0" applyFont="1" applyBorder="1" applyAlignment="1">
      <alignment horizontal="left"/>
    </xf>
    <xf numFmtId="0" fontId="69" fillId="0" borderId="95" xfId="0" applyFont="1" applyBorder="1" applyAlignment="1">
      <alignment horizontal="left"/>
    </xf>
    <xf numFmtId="0" fontId="18" fillId="0" borderId="0" xfId="0" applyFont="1"/>
    <xf numFmtId="0" fontId="0" fillId="4" borderId="0" xfId="0" applyFill="1"/>
    <xf numFmtId="0" fontId="15" fillId="0" borderId="0" xfId="0" applyFont="1"/>
    <xf numFmtId="0" fontId="10" fillId="0" borderId="94" xfId="0" applyFont="1" applyBorder="1" applyAlignment="1">
      <alignment horizontal="left"/>
    </xf>
    <xf numFmtId="3" fontId="69" fillId="0" borderId="89" xfId="0" applyNumberFormat="1" applyFont="1" applyBorder="1"/>
    <xf numFmtId="3" fontId="69" fillId="0" borderId="0" xfId="0" applyNumberFormat="1" applyFont="1" applyBorder="1" applyAlignment="1">
      <alignment horizontal="right"/>
    </xf>
    <xf numFmtId="0" fontId="15" fillId="0" borderId="95" xfId="0" applyFont="1" applyBorder="1"/>
    <xf numFmtId="0" fontId="53" fillId="0" borderId="0" xfId="0" applyFont="1" applyBorder="1" applyAlignment="1">
      <alignment horizontal="right"/>
    </xf>
    <xf numFmtId="0" fontId="10" fillId="0" borderId="89" xfId="0" quotePrefix="1" applyFont="1" applyBorder="1" applyAlignment="1">
      <alignment horizontal="center"/>
    </xf>
    <xf numFmtId="0" fontId="0" fillId="0" borderId="62" xfId="0" applyBorder="1" applyAlignment="1" applyProtection="1">
      <alignment horizontal="center"/>
    </xf>
    <xf numFmtId="3" fontId="0" fillId="0" borderId="0" xfId="0" applyNumberFormat="1" applyBorder="1"/>
    <xf numFmtId="169" fontId="0" fillId="0" borderId="0" xfId="0" applyNumberFormat="1" applyBorder="1" applyAlignment="1" applyProtection="1">
      <alignment horizontal="center"/>
    </xf>
    <xf numFmtId="169" fontId="0" fillId="0" borderId="0" xfId="0" applyNumberFormat="1" applyFill="1" applyBorder="1" applyAlignment="1" applyProtection="1">
      <alignment horizontal="center"/>
    </xf>
    <xf numFmtId="0" fontId="0" fillId="0" borderId="89" xfId="0" applyBorder="1" applyAlignment="1">
      <alignment horizontal="center"/>
    </xf>
    <xf numFmtId="0" fontId="0" fillId="0" borderId="89" xfId="0" applyBorder="1" applyAlignment="1">
      <alignment horizontal="right"/>
    </xf>
    <xf numFmtId="0" fontId="0" fillId="0" borderId="95" xfId="0" applyFill="1" applyBorder="1"/>
    <xf numFmtId="0" fontId="89" fillId="0" borderId="0" xfId="0" applyFont="1"/>
    <xf numFmtId="0" fontId="90" fillId="0" borderId="0" xfId="2" applyFont="1" applyAlignment="1" applyProtection="1"/>
    <xf numFmtId="3" fontId="69" fillId="0" borderId="0" xfId="0" applyNumberFormat="1" applyFont="1" applyFill="1"/>
    <xf numFmtId="0" fontId="10" fillId="0" borderId="95" xfId="0" applyFont="1" applyBorder="1" applyAlignment="1">
      <alignment horizontal="left"/>
    </xf>
    <xf numFmtId="0" fontId="91" fillId="0" borderId="94" xfId="0" applyFont="1" applyBorder="1" applyAlignment="1">
      <alignment horizontal="right"/>
    </xf>
    <xf numFmtId="0" fontId="91" fillId="0" borderId="94" xfId="0" applyFont="1" applyBorder="1" applyAlignment="1">
      <alignment horizontal="centerContinuous"/>
    </xf>
    <xf numFmtId="0" fontId="91" fillId="0" borderId="94" xfId="0" applyFont="1" applyBorder="1" applyAlignment="1">
      <alignment horizontal="center"/>
    </xf>
    <xf numFmtId="37" fontId="39" fillId="0" borderId="6" xfId="0" applyNumberFormat="1" applyFont="1" applyFill="1" applyBorder="1" applyAlignment="1" applyProtection="1">
      <alignment horizontal="right"/>
    </xf>
    <xf numFmtId="38" fontId="0" fillId="0" borderId="0" xfId="0" applyNumberFormat="1" applyFill="1" applyProtection="1"/>
    <xf numFmtId="11" fontId="39" fillId="0" borderId="0" xfId="0" applyNumberFormat="1" applyFont="1" applyFill="1" applyAlignment="1" applyProtection="1">
      <alignment horizontal="right"/>
    </xf>
    <xf numFmtId="167" fontId="39" fillId="0" borderId="18" xfId="0" applyNumberFormat="1" applyFont="1" applyFill="1" applyBorder="1" applyAlignment="1" applyProtection="1">
      <alignment horizontal="center"/>
    </xf>
    <xf numFmtId="37" fontId="39" fillId="0" borderId="0" xfId="0" applyNumberFormat="1" applyFont="1" applyFill="1" applyBorder="1" applyAlignment="1" applyProtection="1">
      <alignment horizontal="right"/>
    </xf>
    <xf numFmtId="37" fontId="38" fillId="0" borderId="0" xfId="0" applyNumberFormat="1" applyFont="1" applyFill="1" applyProtection="1"/>
    <xf numFmtId="169" fontId="0" fillId="0" borderId="0" xfId="0" applyNumberFormat="1" applyFill="1" applyAlignment="1" applyProtection="1">
      <alignment horizontal="right"/>
    </xf>
    <xf numFmtId="167" fontId="0" fillId="0" borderId="0" xfId="0" applyNumberFormat="1" applyFill="1" applyBorder="1" applyProtection="1"/>
    <xf numFmtId="0" fontId="10" fillId="8" borderId="0" xfId="0" applyFont="1" applyFill="1" applyAlignment="1">
      <alignment horizontal="center"/>
    </xf>
    <xf numFmtId="3" fontId="69" fillId="8" borderId="0" xfId="0" applyNumberFormat="1" applyFont="1" applyFill="1"/>
    <xf numFmtId="0" fontId="0" fillId="8" borderId="0" xfId="0" applyFill="1"/>
    <xf numFmtId="0" fontId="0" fillId="0" borderId="10" xfId="0" applyBorder="1" applyAlignment="1">
      <alignment horizontal="right"/>
    </xf>
    <xf numFmtId="0" fontId="11" fillId="8" borderId="0" xfId="0" applyFont="1" applyFill="1"/>
    <xf numFmtId="166" fontId="39" fillId="8" borderId="0" xfId="0" applyNumberFormat="1" applyFont="1" applyFill="1" applyProtection="1"/>
    <xf numFmtId="0" fontId="39" fillId="8" borderId="0" xfId="0" applyFont="1" applyFill="1"/>
    <xf numFmtId="37" fontId="39" fillId="9" borderId="0" xfId="0" applyNumberFormat="1" applyFont="1" applyFill="1" applyProtection="1"/>
    <xf numFmtId="0" fontId="14" fillId="2" borderId="6" xfId="0" quotePrefix="1" applyFont="1" applyFill="1" applyBorder="1" applyAlignment="1">
      <alignment horizontal="left"/>
    </xf>
    <xf numFmtId="165" fontId="95" fillId="0" borderId="0" xfId="0" applyNumberFormat="1" applyFont="1" applyFill="1" applyBorder="1" applyAlignment="1" applyProtection="1">
      <alignment horizontal="center"/>
    </xf>
    <xf numFmtId="169" fontId="95" fillId="0" borderId="12" xfId="0" applyNumberFormat="1" applyFont="1" applyFill="1" applyBorder="1" applyAlignment="1" applyProtection="1">
      <alignment horizontal="center"/>
    </xf>
    <xf numFmtId="0" fontId="14" fillId="8" borderId="15" xfId="0" applyFont="1" applyFill="1" applyBorder="1" applyAlignment="1">
      <alignment horizontal="center"/>
    </xf>
    <xf numFmtId="0" fontId="14" fillId="8" borderId="59" xfId="0" applyFont="1" applyFill="1" applyBorder="1" applyAlignment="1">
      <alignment horizontal="center"/>
    </xf>
    <xf numFmtId="0" fontId="0" fillId="0" borderId="74" xfId="0" applyFill="1" applyBorder="1"/>
    <xf numFmtId="37" fontId="96" fillId="0" borderId="0" xfId="0" applyNumberFormat="1" applyFont="1" applyFill="1"/>
    <xf numFmtId="0" fontId="39" fillId="9" borderId="0" xfId="0" applyFont="1" applyFill="1"/>
    <xf numFmtId="0" fontId="0" fillId="0" borderId="116" xfId="0" applyBorder="1" applyAlignment="1">
      <alignment horizontal="center"/>
    </xf>
    <xf numFmtId="0" fontId="10" fillId="0" borderId="32" xfId="0" applyFont="1" applyBorder="1"/>
    <xf numFmtId="3" fontId="39" fillId="0" borderId="33" xfId="0" applyNumberFormat="1" applyFont="1" applyBorder="1" applyAlignment="1" applyProtection="1">
      <alignment horizontal="right"/>
    </xf>
    <xf numFmtId="3" fontId="39" fillId="0" borderId="61" xfId="0" applyNumberFormat="1" applyFont="1" applyBorder="1" applyAlignment="1" applyProtection="1">
      <alignment horizontal="right"/>
    </xf>
    <xf numFmtId="0" fontId="10" fillId="0" borderId="62" xfId="0" applyFont="1" applyBorder="1"/>
    <xf numFmtId="3" fontId="39" fillId="0" borderId="34" xfId="0" applyNumberFormat="1" applyFont="1" applyBorder="1" applyAlignment="1" applyProtection="1">
      <alignment horizontal="right"/>
    </xf>
    <xf numFmtId="0" fontId="10" fillId="0" borderId="37" xfId="0" applyFont="1" applyBorder="1"/>
    <xf numFmtId="3" fontId="39" fillId="0" borderId="35" xfId="0" applyNumberFormat="1" applyFont="1" applyBorder="1" applyAlignment="1" applyProtection="1">
      <alignment horizontal="right"/>
    </xf>
    <xf numFmtId="3" fontId="39" fillId="0" borderId="36" xfId="0" applyNumberFormat="1" applyFont="1" applyBorder="1" applyAlignment="1" applyProtection="1">
      <alignment horizontal="right"/>
    </xf>
    <xf numFmtId="3" fontId="69" fillId="0" borderId="0" xfId="0" applyNumberFormat="1" applyFont="1" applyFill="1" applyAlignment="1">
      <alignment horizontal="right"/>
    </xf>
    <xf numFmtId="3" fontId="39" fillId="8" borderId="33" xfId="0" applyNumberFormat="1" applyFont="1" applyFill="1" applyBorder="1" applyAlignment="1" applyProtection="1">
      <alignment horizontal="right"/>
    </xf>
    <xf numFmtId="3" fontId="39" fillId="8" borderId="0" xfId="0" applyNumberFormat="1" applyFont="1" applyFill="1" applyBorder="1" applyAlignment="1" applyProtection="1">
      <alignment horizontal="right"/>
    </xf>
    <xf numFmtId="3" fontId="39" fillId="8" borderId="35" xfId="0" applyNumberFormat="1" applyFont="1" applyFill="1" applyBorder="1" applyAlignment="1" applyProtection="1">
      <alignment horizontal="right"/>
    </xf>
    <xf numFmtId="37" fontId="25" fillId="8" borderId="6" xfId="0" applyNumberFormat="1" applyFont="1" applyFill="1" applyBorder="1" applyProtection="1"/>
    <xf numFmtId="37" fontId="25" fillId="8" borderId="0" xfId="0" applyNumberFormat="1" applyFont="1" applyFill="1" applyProtection="1"/>
    <xf numFmtId="180" fontId="2" fillId="0" borderId="0" xfId="1" applyNumberFormat="1" applyFont="1" applyBorder="1" applyProtection="1"/>
    <xf numFmtId="185" fontId="39" fillId="8" borderId="0" xfId="0" applyNumberFormat="1" applyFont="1" applyFill="1" applyBorder="1" applyAlignment="1" applyProtection="1">
      <alignment horizontal="right"/>
    </xf>
    <xf numFmtId="185" fontId="39" fillId="0" borderId="0" xfId="0" applyNumberFormat="1" applyFont="1" applyFill="1" applyBorder="1" applyAlignment="1" applyProtection="1">
      <alignment horizontal="right"/>
    </xf>
    <xf numFmtId="184" fontId="39" fillId="0" borderId="0" xfId="0" applyNumberFormat="1" applyFont="1" applyFill="1" applyBorder="1" applyAlignment="1" applyProtection="1">
      <alignment horizontal="right"/>
    </xf>
    <xf numFmtId="170" fontId="0" fillId="0" borderId="0" xfId="0" applyNumberFormat="1"/>
    <xf numFmtId="176" fontId="0" fillId="0" borderId="0" xfId="0" applyNumberFormat="1"/>
    <xf numFmtId="0" fontId="39" fillId="0" borderId="0" xfId="0" applyFont="1" applyBorder="1" applyAlignment="1">
      <alignment horizontal="right"/>
    </xf>
    <xf numFmtId="3" fontId="39" fillId="0" borderId="95" xfId="0" applyNumberFormat="1" applyFont="1" applyBorder="1" applyAlignment="1" applyProtection="1">
      <alignment horizontal="right"/>
    </xf>
    <xf numFmtId="3" fontId="39" fillId="0" borderId="94" xfId="0" applyNumberFormat="1" applyFont="1" applyBorder="1" applyAlignment="1" applyProtection="1">
      <alignment horizontal="right"/>
    </xf>
    <xf numFmtId="0" fontId="97" fillId="0" borderId="94" xfId="0" applyFont="1" applyBorder="1"/>
    <xf numFmtId="0" fontId="39" fillId="0" borderId="95" xfId="0" applyFont="1" applyBorder="1" applyAlignment="1">
      <alignment horizontal="right"/>
    </xf>
    <xf numFmtId="0" fontId="98" fillId="0" borderId="94" xfId="0" applyFont="1" applyBorder="1" applyAlignment="1">
      <alignment horizontal="left"/>
    </xf>
    <xf numFmtId="0" fontId="98" fillId="0" borderId="0" xfId="0" applyFont="1" applyBorder="1" applyAlignment="1">
      <alignment horizontal="left"/>
    </xf>
    <xf numFmtId="182" fontId="0" fillId="0" borderId="0" xfId="0" applyNumberFormat="1"/>
    <xf numFmtId="0" fontId="40" fillId="0" borderId="146" xfId="0" applyFont="1" applyBorder="1"/>
    <xf numFmtId="0" fontId="0" fillId="0" borderId="37" xfId="0" applyBorder="1" applyAlignment="1">
      <alignment horizontal="right"/>
    </xf>
    <xf numFmtId="0" fontId="0" fillId="0" borderId="35" xfId="0" applyBorder="1" applyAlignment="1">
      <alignment horizontal="right"/>
    </xf>
    <xf numFmtId="0" fontId="0" fillId="0" borderId="36" xfId="0" applyBorder="1" applyAlignment="1">
      <alignment horizontal="right"/>
    </xf>
    <xf numFmtId="0" fontId="0" fillId="0" borderId="147" xfId="0" applyBorder="1" applyAlignment="1">
      <alignment horizontal="center"/>
    </xf>
    <xf numFmtId="0" fontId="0" fillId="0" borderId="149" xfId="0" applyBorder="1"/>
    <xf numFmtId="3" fontId="0" fillId="8" borderId="148" xfId="0" applyNumberFormat="1" applyFill="1" applyBorder="1"/>
    <xf numFmtId="3" fontId="96" fillId="0" borderId="0" xfId="0" applyNumberFormat="1" applyFont="1" applyFill="1"/>
    <xf numFmtId="3" fontId="10" fillId="0" borderId="150" xfId="0" applyNumberFormat="1" applyFont="1" applyBorder="1"/>
    <xf numFmtId="3" fontId="10" fillId="0" borderId="151" xfId="0" applyNumberFormat="1" applyFont="1" applyBorder="1"/>
    <xf numFmtId="37" fontId="69" fillId="8" borderId="0" xfId="0" applyNumberFormat="1" applyFont="1" applyFill="1"/>
    <xf numFmtId="0" fontId="69" fillId="8" borderId="0" xfId="0" applyFont="1" applyFill="1" applyAlignment="1">
      <alignment horizontal="center"/>
    </xf>
    <xf numFmtId="3" fontId="97" fillId="0" borderId="0" xfId="0" applyNumberFormat="1" applyFont="1" applyFill="1" applyAlignment="1" applyProtection="1">
      <alignment horizontal="right"/>
    </xf>
    <xf numFmtId="2" fontId="0" fillId="0" borderId="0" xfId="0" applyNumberFormat="1"/>
    <xf numFmtId="37" fontId="39" fillId="5" borderId="6" xfId="0" applyNumberFormat="1" applyFont="1" applyFill="1" applyBorder="1" applyAlignment="1" applyProtection="1">
      <alignment horizontal="right"/>
    </xf>
    <xf numFmtId="37" fontId="39" fillId="0" borderId="0" xfId="0" applyNumberFormat="1" applyFont="1" applyFill="1"/>
    <xf numFmtId="38" fontId="39" fillId="0" borderId="0" xfId="0" applyNumberFormat="1" applyFont="1"/>
    <xf numFmtId="167" fontId="39" fillId="0" borderId="0" xfId="4" applyNumberFormat="1" applyFont="1"/>
    <xf numFmtId="0" fontId="38" fillId="0" borderId="6" xfId="0" quotePrefix="1" applyFont="1" applyBorder="1" applyAlignment="1">
      <alignment horizontal="left"/>
    </xf>
    <xf numFmtId="0" fontId="0" fillId="0" borderId="6" xfId="0" quotePrefix="1" applyBorder="1" applyAlignment="1">
      <alignment horizontal="left"/>
    </xf>
    <xf numFmtId="0" fontId="32" fillId="0" borderId="0" xfId="0" applyFont="1" applyBorder="1"/>
    <xf numFmtId="0" fontId="97" fillId="0" borderId="6" xfId="0" applyFont="1" applyBorder="1" applyAlignment="1">
      <alignment horizontal="left"/>
    </xf>
    <xf numFmtId="0" fontId="23" fillId="0" borderId="5" xfId="0" applyFont="1" applyBorder="1" applyAlignment="1">
      <alignment horizontal="left"/>
    </xf>
    <xf numFmtId="37" fontId="21" fillId="8" borderId="111" xfId="0" applyNumberFormat="1" applyFont="1" applyFill="1" applyBorder="1" applyProtection="1"/>
    <xf numFmtId="2" fontId="0" fillId="0" borderId="14" xfId="0" applyNumberFormat="1" applyBorder="1" applyAlignment="1">
      <alignment horizontal="center"/>
    </xf>
    <xf numFmtId="171" fontId="101" fillId="0" borderId="84" xfId="0" quotePrefix="1" applyNumberFormat="1" applyFont="1" applyBorder="1" applyProtection="1"/>
    <xf numFmtId="0" fontId="74" fillId="0" borderId="89" xfId="0" applyFont="1" applyBorder="1" applyAlignment="1">
      <alignment horizontal="right"/>
    </xf>
    <xf numFmtId="0" fontId="74" fillId="0" borderId="89" xfId="0" applyFont="1" applyBorder="1" applyAlignment="1">
      <alignment horizontal="centerContinuous"/>
    </xf>
    <xf numFmtId="167" fontId="39" fillId="0" borderId="0" xfId="4" applyNumberFormat="1" applyFont="1" applyFill="1"/>
    <xf numFmtId="0" fontId="1" fillId="0" borderId="0" xfId="0" applyFont="1"/>
    <xf numFmtId="177" fontId="0" fillId="0" borderId="0" xfId="0" applyNumberFormat="1" applyProtection="1"/>
    <xf numFmtId="0" fontId="0" fillId="0" borderId="0" xfId="0" applyFill="1" applyBorder="1" applyAlignment="1" applyProtection="1">
      <alignment horizontal="right"/>
    </xf>
    <xf numFmtId="0" fontId="0" fillId="0" borderId="152" xfId="0" applyFill="1" applyBorder="1" applyAlignment="1">
      <alignment horizontal="right"/>
    </xf>
    <xf numFmtId="0" fontId="0" fillId="0" borderId="153" xfId="0" applyFill="1" applyBorder="1" applyAlignment="1">
      <alignment horizontal="right"/>
    </xf>
    <xf numFmtId="37" fontId="101" fillId="0" borderId="62" xfId="0" applyNumberFormat="1" applyFont="1" applyBorder="1" applyProtection="1"/>
    <xf numFmtId="37" fontId="101" fillId="0" borderId="34" xfId="0" applyNumberFormat="1" applyFont="1" applyBorder="1" applyProtection="1"/>
    <xf numFmtId="0" fontId="39" fillId="8" borderId="22" xfId="0" applyFont="1" applyFill="1" applyBorder="1" applyAlignment="1">
      <alignment horizontal="center"/>
    </xf>
    <xf numFmtId="37" fontId="39" fillId="8" borderId="14" xfId="0" applyNumberFormat="1" applyFont="1" applyFill="1" applyBorder="1"/>
    <xf numFmtId="3" fontId="10" fillId="0" borderId="0" xfId="0" applyNumberFormat="1" applyFont="1" applyFill="1"/>
    <xf numFmtId="169" fontId="32" fillId="0" borderId="0" xfId="0" quotePrefix="1" applyNumberFormat="1" applyFont="1" applyBorder="1" applyAlignment="1" applyProtection="1">
      <alignment horizontal="center"/>
    </xf>
    <xf numFmtId="0" fontId="10" fillId="0" borderId="89" xfId="0" applyFont="1" applyBorder="1" applyAlignment="1">
      <alignment horizontal="right"/>
    </xf>
    <xf numFmtId="166" fontId="39" fillId="0" borderId="0" xfId="0" applyNumberFormat="1" applyFont="1" applyFill="1" applyProtection="1"/>
    <xf numFmtId="166" fontId="0" fillId="0" borderId="0" xfId="0" applyNumberFormat="1"/>
    <xf numFmtId="0" fontId="94" fillId="0" borderId="0" xfId="0" applyFont="1"/>
    <xf numFmtId="3" fontId="69" fillId="8" borderId="0" xfId="0" applyNumberFormat="1" applyFont="1" applyFill="1" applyAlignment="1">
      <alignment horizontal="right"/>
    </xf>
    <xf numFmtId="0" fontId="79" fillId="0" borderId="89" xfId="3" applyBorder="1"/>
    <xf numFmtId="0" fontId="79" fillId="0" borderId="0" xfId="3" applyBorder="1"/>
    <xf numFmtId="0" fontId="79" fillId="0" borderId="0" xfId="3" applyFont="1" applyBorder="1"/>
    <xf numFmtId="0" fontId="79" fillId="0" borderId="95" xfId="3" applyBorder="1"/>
    <xf numFmtId="0" fontId="40" fillId="0" borderId="0" xfId="0" applyFont="1" applyBorder="1"/>
    <xf numFmtId="0" fontId="74" fillId="0" borderId="89" xfId="0" applyFont="1" applyBorder="1"/>
    <xf numFmtId="0" fontId="96" fillId="0" borderId="0" xfId="0" applyFont="1"/>
    <xf numFmtId="3" fontId="69" fillId="0" borderId="89" xfId="0" applyNumberFormat="1" applyFont="1" applyFill="1" applyBorder="1"/>
    <xf numFmtId="0" fontId="103" fillId="0" borderId="0" xfId="0" applyFont="1"/>
    <xf numFmtId="37" fontId="69" fillId="0" borderId="0" xfId="0" applyNumberFormat="1" applyFont="1" applyFill="1"/>
    <xf numFmtId="9" fontId="0" fillId="0" borderId="0" xfId="4" applyNumberFormat="1" applyFont="1"/>
    <xf numFmtId="180" fontId="0" fillId="0" borderId="0" xfId="1" applyNumberFormat="1" applyFont="1"/>
    <xf numFmtId="180" fontId="0" fillId="0" borderId="0" xfId="0" applyNumberFormat="1"/>
    <xf numFmtId="43" fontId="0" fillId="0" borderId="0" xfId="0" applyNumberFormat="1"/>
    <xf numFmtId="37" fontId="3" fillId="0" borderId="0" xfId="0" applyNumberFormat="1" applyFont="1" applyBorder="1" applyProtection="1"/>
    <xf numFmtId="166" fontId="11" fillId="0" borderId="0" xfId="0" applyNumberFormat="1" applyFont="1" applyFill="1" applyProtection="1"/>
    <xf numFmtId="3" fontId="39" fillId="0" borderId="6" xfId="0" applyNumberFormat="1" applyFont="1" applyFill="1" applyBorder="1" applyAlignment="1" applyProtection="1">
      <alignment horizontal="right"/>
    </xf>
    <xf numFmtId="0" fontId="99" fillId="0" borderId="0" xfId="0" applyFont="1" applyFill="1"/>
    <xf numFmtId="3" fontId="10" fillId="0" borderId="151" xfId="0" applyNumberFormat="1" applyFont="1" applyFill="1" applyBorder="1"/>
    <xf numFmtId="179" fontId="0" fillId="0" borderId="0" xfId="0" applyNumberFormat="1"/>
    <xf numFmtId="186" fontId="39" fillId="0" borderId="0" xfId="0" applyNumberFormat="1" applyFont="1"/>
    <xf numFmtId="0" fontId="74" fillId="0" borderId="0" xfId="0" applyFont="1"/>
    <xf numFmtId="3" fontId="69" fillId="8" borderId="89" xfId="0" applyNumberFormat="1" applyFont="1" applyFill="1" applyBorder="1"/>
    <xf numFmtId="3" fontId="39" fillId="0" borderId="0" xfId="0" applyNumberFormat="1" applyFont="1" applyFill="1" applyAlignment="1" applyProtection="1">
      <alignment horizontal="right"/>
    </xf>
    <xf numFmtId="3" fontId="39" fillId="8" borderId="0" xfId="0" applyNumberFormat="1" applyFont="1" applyFill="1"/>
    <xf numFmtId="3" fontId="39" fillId="10" borderId="0" xfId="0" applyNumberFormat="1" applyFont="1" applyFill="1"/>
    <xf numFmtId="0" fontId="87" fillId="0" borderId="0" xfId="5" applyFont="1"/>
    <xf numFmtId="0" fontId="105" fillId="0" borderId="0" xfId="5"/>
    <xf numFmtId="0" fontId="15" fillId="0" borderId="0" xfId="5" applyFont="1"/>
    <xf numFmtId="0" fontId="105" fillId="0" borderId="94" xfId="5" applyBorder="1"/>
    <xf numFmtId="0" fontId="105" fillId="0" borderId="89" xfId="5" applyBorder="1" applyAlignment="1">
      <alignment horizontal="centerContinuous"/>
    </xf>
    <xf numFmtId="0" fontId="105" fillId="4" borderId="94" xfId="5" applyFill="1" applyBorder="1" applyAlignment="1">
      <alignment horizontal="right"/>
    </xf>
    <xf numFmtId="0" fontId="105" fillId="0" borderId="0" xfId="5" applyBorder="1" applyAlignment="1">
      <alignment horizontal="center"/>
    </xf>
    <xf numFmtId="0" fontId="105" fillId="0" borderId="0" xfId="5" applyBorder="1" applyAlignment="1">
      <alignment horizontal="right"/>
    </xf>
    <xf numFmtId="0" fontId="105" fillId="0" borderId="95" xfId="5" applyBorder="1" applyAlignment="1">
      <alignment horizontal="right"/>
    </xf>
    <xf numFmtId="0" fontId="105" fillId="0" borderId="95" xfId="5" applyBorder="1" applyAlignment="1">
      <alignment horizontal="left"/>
    </xf>
    <xf numFmtId="0" fontId="105" fillId="0" borderId="0" xfId="5" applyBorder="1"/>
    <xf numFmtId="0" fontId="106" fillId="4" borderId="0" xfId="5" applyFont="1" applyFill="1" applyBorder="1" applyAlignment="1">
      <alignment horizontal="right"/>
    </xf>
    <xf numFmtId="0" fontId="105" fillId="0" borderId="95" xfId="5" applyBorder="1" applyAlignment="1">
      <alignment horizontal="center"/>
    </xf>
    <xf numFmtId="0" fontId="105" fillId="0" borderId="95" xfId="5" applyBorder="1"/>
    <xf numFmtId="0" fontId="106" fillId="4" borderId="95" xfId="5" applyFont="1" applyFill="1" applyBorder="1" applyAlignment="1">
      <alignment horizontal="right"/>
    </xf>
    <xf numFmtId="0" fontId="105" fillId="0" borderId="0" xfId="5" applyAlignment="1">
      <alignment horizontal="center"/>
    </xf>
    <xf numFmtId="3" fontId="87" fillId="0" borderId="0" xfId="5" applyNumberFormat="1" applyFont="1"/>
    <xf numFmtId="0" fontId="107" fillId="0" borderId="0" xfId="5" applyFont="1" applyBorder="1" applyAlignment="1">
      <alignment horizontal="center"/>
    </xf>
    <xf numFmtId="3" fontId="87" fillId="0" borderId="0" xfId="5" quotePrefix="1" applyNumberFormat="1" applyFont="1"/>
    <xf numFmtId="184" fontId="87" fillId="0" borderId="0" xfId="5" applyNumberFormat="1" applyFont="1"/>
    <xf numFmtId="0" fontId="107" fillId="0" borderId="0" xfId="5" applyFont="1" applyFill="1" applyBorder="1" applyAlignment="1">
      <alignment horizontal="center"/>
    </xf>
    <xf numFmtId="0" fontId="1" fillId="0" borderId="94" xfId="5" applyFont="1" applyBorder="1" applyAlignment="1">
      <alignment horizontal="right"/>
    </xf>
    <xf numFmtId="10" fontId="87" fillId="0" borderId="94" xfId="4" applyNumberFormat="1" applyFont="1" applyBorder="1"/>
    <xf numFmtId="0" fontId="1" fillId="0" borderId="0" xfId="5" applyFont="1" applyBorder="1" applyAlignment="1">
      <alignment horizontal="right"/>
    </xf>
    <xf numFmtId="10" fontId="87" fillId="0" borderId="0" xfId="4" applyNumberFormat="1" applyFont="1" applyBorder="1"/>
    <xf numFmtId="0" fontId="1" fillId="0" borderId="95" xfId="5" applyFont="1" applyBorder="1" applyAlignment="1">
      <alignment horizontal="right"/>
    </xf>
    <xf numFmtId="10" fontId="87" fillId="0" borderId="95" xfId="4" applyNumberFormat="1" applyFont="1" applyBorder="1"/>
    <xf numFmtId="0" fontId="1" fillId="0" borderId="94" xfId="5" applyFont="1" applyBorder="1" applyAlignment="1"/>
    <xf numFmtId="0" fontId="1" fillId="0" borderId="89" xfId="5" applyFont="1" applyBorder="1" applyAlignment="1">
      <alignment horizontal="center" wrapText="1"/>
    </xf>
    <xf numFmtId="0" fontId="110" fillId="0" borderId="89" xfId="5" applyFont="1" applyBorder="1"/>
    <xf numFmtId="0" fontId="1" fillId="0" borderId="89" xfId="5" applyFont="1" applyBorder="1" applyAlignment="1">
      <alignment horizontal="right"/>
    </xf>
    <xf numFmtId="0" fontId="1" fillId="0" borderId="0" xfId="5" applyFont="1" applyAlignment="1">
      <alignment horizontal="center"/>
    </xf>
    <xf numFmtId="10" fontId="110" fillId="0" borderId="0" xfId="5" applyNumberFormat="1" applyFont="1" applyBorder="1" applyAlignment="1">
      <alignment horizontal="center"/>
    </xf>
    <xf numFmtId="3" fontId="87" fillId="0" borderId="0" xfId="5" applyNumberFormat="1" applyFont="1" applyBorder="1"/>
    <xf numFmtId="3" fontId="87" fillId="9" borderId="0" xfId="5" applyNumberFormat="1" applyFont="1" applyFill="1" applyBorder="1"/>
    <xf numFmtId="10" fontId="110" fillId="0" borderId="95" xfId="5" applyNumberFormat="1" applyFont="1" applyBorder="1" applyAlignment="1">
      <alignment horizontal="center"/>
    </xf>
    <xf numFmtId="3" fontId="87" fillId="0" borderId="95" xfId="5" applyNumberFormat="1" applyFont="1" applyBorder="1"/>
    <xf numFmtId="167" fontId="92" fillId="8" borderId="22" xfId="0" applyNumberFormat="1" applyFont="1" applyFill="1" applyBorder="1" applyProtection="1"/>
    <xf numFmtId="37" fontId="43" fillId="8" borderId="7" xfId="0" applyNumberFormat="1" applyFont="1" applyFill="1" applyBorder="1" applyProtection="1"/>
    <xf numFmtId="37" fontId="21" fillId="8" borderId="15" xfId="0" applyNumberFormat="1" applyFont="1" applyFill="1" applyBorder="1" applyProtection="1"/>
    <xf numFmtId="0" fontId="44" fillId="8" borderId="32" xfId="0" applyFont="1" applyFill="1" applyBorder="1" applyAlignment="1">
      <alignment horizontal="center"/>
    </xf>
    <xf numFmtId="37" fontId="39" fillId="8" borderId="61" xfId="0" applyNumberFormat="1" applyFont="1" applyFill="1" applyBorder="1"/>
    <xf numFmtId="0" fontId="39" fillId="8" borderId="96" xfId="0" applyFont="1" applyFill="1" applyBorder="1"/>
    <xf numFmtId="37" fontId="21" fillId="8" borderId="13" xfId="0" applyNumberFormat="1" applyFont="1" applyFill="1" applyBorder="1" applyProtection="1"/>
    <xf numFmtId="0" fontId="44" fillId="8" borderId="62" xfId="0" applyFont="1" applyFill="1" applyBorder="1" applyAlignment="1">
      <alignment horizontal="center"/>
    </xf>
    <xf numFmtId="37" fontId="39" fillId="8" borderId="34" xfId="0" applyNumberFormat="1" applyFont="1" applyFill="1" applyBorder="1"/>
    <xf numFmtId="0" fontId="0" fillId="8" borderId="0" xfId="0" applyFill="1" applyBorder="1"/>
    <xf numFmtId="0" fontId="21" fillId="8" borderId="0" xfId="0" applyFont="1" applyFill="1" applyBorder="1"/>
    <xf numFmtId="0" fontId="45" fillId="8" borderId="62" xfId="0" applyFont="1" applyFill="1" applyBorder="1" applyAlignment="1">
      <alignment horizontal="center"/>
    </xf>
    <xf numFmtId="0" fontId="0" fillId="8" borderId="16" xfId="0" applyFill="1" applyBorder="1"/>
    <xf numFmtId="0" fontId="21" fillId="8" borderId="16" xfId="0" applyFont="1" applyFill="1" applyBorder="1"/>
    <xf numFmtId="37" fontId="21" fillId="8" borderId="31" xfId="0" applyNumberFormat="1" applyFont="1" applyFill="1" applyBorder="1" applyProtection="1"/>
    <xf numFmtId="0" fontId="45" fillId="8" borderId="37" xfId="0" applyFont="1" applyFill="1" applyBorder="1" applyAlignment="1">
      <alignment horizontal="center"/>
    </xf>
    <xf numFmtId="37" fontId="39" fillId="8" borderId="36" xfId="0" applyNumberFormat="1" applyFont="1" applyFill="1" applyBorder="1"/>
    <xf numFmtId="0" fontId="39" fillId="8" borderId="22" xfId="0" applyFont="1" applyFill="1" applyBorder="1"/>
    <xf numFmtId="37" fontId="21" fillId="8" borderId="97" xfId="0" applyNumberFormat="1" applyFont="1" applyFill="1" applyBorder="1" applyProtection="1"/>
    <xf numFmtId="167" fontId="15" fillId="8" borderId="18" xfId="0" applyNumberFormat="1" applyFont="1" applyFill="1" applyBorder="1"/>
    <xf numFmtId="37" fontId="43" fillId="8" borderId="100" xfId="0" applyNumberFormat="1" applyFont="1" applyFill="1" applyBorder="1" applyProtection="1"/>
    <xf numFmtId="37" fontId="21" fillId="8" borderId="98" xfId="0" applyNumberFormat="1" applyFont="1" applyFill="1" applyBorder="1" applyProtection="1"/>
    <xf numFmtId="0" fontId="0" fillId="8" borderId="14" xfId="0" applyFill="1" applyBorder="1"/>
    <xf numFmtId="0" fontId="10" fillId="8" borderId="0" xfId="0" applyFont="1" applyFill="1" applyBorder="1"/>
    <xf numFmtId="10" fontId="93" fillId="8" borderId="4" xfId="4" applyNumberFormat="1" applyFont="1" applyFill="1" applyBorder="1"/>
    <xf numFmtId="37" fontId="43" fillId="8" borderId="4" xfId="0" applyNumberFormat="1" applyFont="1" applyFill="1" applyBorder="1" applyAlignment="1" applyProtection="1">
      <alignment horizontal="right"/>
    </xf>
    <xf numFmtId="0" fontId="0" fillId="8" borderId="10" xfId="0" applyFill="1" applyBorder="1"/>
    <xf numFmtId="10" fontId="93" fillId="8" borderId="9" xfId="4" applyNumberFormat="1" applyFont="1" applyFill="1" applyBorder="1"/>
    <xf numFmtId="37" fontId="21" fillId="8" borderId="20" xfId="0" applyNumberFormat="1" applyFont="1" applyFill="1" applyBorder="1" applyProtection="1"/>
    <xf numFmtId="10" fontId="94" fillId="8" borderId="16" xfId="4" applyNumberFormat="1" applyFont="1" applyFill="1" applyBorder="1"/>
    <xf numFmtId="0" fontId="22" fillId="8" borderId="16" xfId="0" applyFont="1" applyFill="1" applyBorder="1"/>
    <xf numFmtId="37" fontId="21" fillId="8" borderId="84" xfId="0" applyNumberFormat="1" applyFont="1" applyFill="1" applyBorder="1" applyProtection="1"/>
    <xf numFmtId="0" fontId="18" fillId="8" borderId="16" xfId="0" applyFont="1" applyFill="1" applyBorder="1"/>
    <xf numFmtId="37" fontId="0" fillId="8" borderId="0" xfId="0" applyNumberFormat="1" applyFill="1" applyBorder="1"/>
    <xf numFmtId="0" fontId="10" fillId="8" borderId="16" xfId="0" applyFont="1" applyFill="1" applyBorder="1"/>
    <xf numFmtId="0" fontId="0" fillId="8" borderId="39" xfId="0" applyFill="1" applyBorder="1"/>
    <xf numFmtId="37" fontId="21" fillId="9" borderId="99" xfId="0" applyNumberFormat="1" applyFont="1" applyFill="1" applyBorder="1" applyProtection="1"/>
    <xf numFmtId="0" fontId="1" fillId="0" borderId="154" xfId="5" applyFont="1" applyBorder="1" applyAlignment="1">
      <alignment wrapText="1"/>
    </xf>
    <xf numFmtId="0" fontId="109" fillId="8" borderId="38" xfId="5" applyFont="1" applyFill="1" applyBorder="1" applyAlignment="1">
      <alignment horizontal="center"/>
    </xf>
    <xf numFmtId="0" fontId="105" fillId="0" borderId="33" xfId="5" applyBorder="1"/>
    <xf numFmtId="0" fontId="105" fillId="0" borderId="61" xfId="5" applyBorder="1"/>
    <xf numFmtId="0" fontId="105" fillId="0" borderId="62" xfId="5" applyBorder="1"/>
    <xf numFmtId="0" fontId="105" fillId="0" borderId="34" xfId="5" applyBorder="1"/>
    <xf numFmtId="0" fontId="105" fillId="0" borderId="155" xfId="5" applyBorder="1"/>
    <xf numFmtId="0" fontId="105" fillId="0" borderId="152" xfId="5" applyBorder="1"/>
    <xf numFmtId="0" fontId="1" fillId="0" borderId="156" xfId="5" applyFont="1" applyBorder="1" applyAlignment="1">
      <alignment horizontal="center" wrapText="1"/>
    </xf>
    <xf numFmtId="0" fontId="1" fillId="9" borderId="157" xfId="5" applyFont="1" applyFill="1" applyBorder="1" applyAlignment="1">
      <alignment horizontal="right" wrapText="1"/>
    </xf>
    <xf numFmtId="0" fontId="1" fillId="0" borderId="62" xfId="5" applyFont="1" applyBorder="1" applyAlignment="1">
      <alignment horizontal="left"/>
    </xf>
    <xf numFmtId="3" fontId="87" fillId="9" borderId="34" xfId="5" applyNumberFormat="1" applyFont="1" applyFill="1" applyBorder="1"/>
    <xf numFmtId="0" fontId="1" fillId="0" borderId="152" xfId="5" applyFont="1" applyBorder="1" applyAlignment="1">
      <alignment horizontal="left"/>
    </xf>
    <xf numFmtId="0" fontId="105" fillId="0" borderId="37" xfId="5" applyBorder="1"/>
    <xf numFmtId="0" fontId="105" fillId="0" borderId="35" xfId="5" applyBorder="1"/>
    <xf numFmtId="0" fontId="105" fillId="0" borderId="36" xfId="5" applyBorder="1"/>
    <xf numFmtId="0" fontId="1" fillId="0" borderId="62" xfId="5" applyFont="1" applyBorder="1" applyAlignment="1">
      <alignment horizontal="left" wrapText="1"/>
    </xf>
    <xf numFmtId="3" fontId="87" fillId="8" borderId="34" xfId="5" applyNumberFormat="1" applyFont="1" applyFill="1" applyBorder="1"/>
    <xf numFmtId="3" fontId="87" fillId="8" borderId="153" xfId="5" applyNumberFormat="1" applyFont="1" applyFill="1" applyBorder="1"/>
    <xf numFmtId="37" fontId="21" fillId="9" borderId="140" xfId="0" applyNumberFormat="1" applyFont="1" applyFill="1" applyBorder="1" applyProtection="1"/>
    <xf numFmtId="37" fontId="21" fillId="9" borderId="141" xfId="0" applyNumberFormat="1" applyFont="1" applyFill="1" applyBorder="1" applyProtection="1"/>
    <xf numFmtId="37" fontId="21" fillId="9" borderId="139" xfId="0" applyNumberFormat="1" applyFont="1" applyFill="1" applyBorder="1" applyProtection="1"/>
    <xf numFmtId="37" fontId="56" fillId="9" borderId="109" xfId="0" applyNumberFormat="1" applyFont="1" applyFill="1" applyBorder="1"/>
    <xf numFmtId="37" fontId="21" fillId="9" borderId="22" xfId="0" applyNumberFormat="1" applyFont="1" applyFill="1" applyBorder="1" applyProtection="1"/>
    <xf numFmtId="37" fontId="21" fillId="9" borderId="44" xfId="0" applyNumberFormat="1" applyFont="1" applyFill="1" applyBorder="1" applyProtection="1"/>
    <xf numFmtId="37" fontId="21" fillId="9" borderId="104" xfId="0" applyNumberFormat="1" applyFont="1" applyFill="1" applyBorder="1" applyAlignment="1" applyProtection="1">
      <alignment horizontal="right"/>
    </xf>
    <xf numFmtId="37" fontId="21" fillId="9" borderId="0" xfId="0" applyNumberFormat="1" applyFont="1" applyFill="1" applyProtection="1"/>
    <xf numFmtId="37" fontId="21" fillId="9" borderId="0" xfId="0" applyNumberFormat="1" applyFont="1" applyFill="1" applyBorder="1" applyProtection="1"/>
    <xf numFmtId="37" fontId="21" fillId="9" borderId="117" xfId="0" applyNumberFormat="1" applyFont="1" applyFill="1" applyBorder="1" applyProtection="1"/>
    <xf numFmtId="0" fontId="0" fillId="4" borderId="0" xfId="0" applyFill="1" applyBorder="1" applyAlignment="1">
      <alignment horizontal="right"/>
    </xf>
    <xf numFmtId="0" fontId="40" fillId="0" borderId="0" xfId="0" applyFont="1" applyBorder="1" applyAlignment="1">
      <alignment horizontal="right"/>
    </xf>
    <xf numFmtId="0" fontId="0" fillId="0" borderId="0" xfId="0" applyFill="1" applyBorder="1" applyAlignment="1">
      <alignment horizontal="right"/>
    </xf>
    <xf numFmtId="3" fontId="10" fillId="0" borderId="0" xfId="0" applyNumberFormat="1" applyFont="1" applyAlignment="1">
      <alignment horizontal="right"/>
    </xf>
    <xf numFmtId="3" fontId="10" fillId="0" borderId="0" xfId="0" applyNumberFormat="1" applyFont="1" applyBorder="1" applyAlignment="1">
      <alignment horizontal="right"/>
    </xf>
    <xf numFmtId="3" fontId="10" fillId="0" borderId="95" xfId="0" applyNumberFormat="1" applyFont="1" applyBorder="1" applyAlignment="1">
      <alignment horizontal="right"/>
    </xf>
    <xf numFmtId="37" fontId="112" fillId="0" borderId="0" xfId="0" applyNumberFormat="1" applyFont="1"/>
    <xf numFmtId="3" fontId="97" fillId="0" borderId="6" xfId="0" applyNumberFormat="1" applyFont="1" applyFill="1" applyBorder="1" applyAlignment="1" applyProtection="1">
      <alignment horizontal="right"/>
    </xf>
    <xf numFmtId="3" fontId="10" fillId="0" borderId="0" xfId="0" applyNumberFormat="1" applyFont="1" applyFill="1" applyBorder="1"/>
    <xf numFmtId="3" fontId="96" fillId="0" borderId="0" xfId="0" applyNumberFormat="1" applyFont="1"/>
    <xf numFmtId="3" fontId="114" fillId="0" borderId="0" xfId="0" applyNumberFormat="1" applyFont="1" applyBorder="1"/>
    <xf numFmtId="37" fontId="43" fillId="11" borderId="100" xfId="0" applyNumberFormat="1" applyFont="1" applyFill="1" applyBorder="1" applyProtection="1"/>
    <xf numFmtId="0" fontId="108" fillId="0" borderId="0" xfId="5" applyFont="1" applyFill="1"/>
    <xf numFmtId="0" fontId="40" fillId="0" borderId="0" xfId="0" applyFont="1" applyFill="1" applyBorder="1" applyAlignment="1" applyProtection="1">
      <alignment horizontal="center"/>
    </xf>
    <xf numFmtId="37" fontId="32" fillId="0" borderId="6" xfId="0" applyNumberFormat="1" applyFont="1" applyFill="1" applyBorder="1" applyAlignment="1" applyProtection="1">
      <alignment horizontal="right"/>
    </xf>
    <xf numFmtId="37" fontId="11" fillId="0" borderId="6" xfId="0" applyNumberFormat="1" applyFont="1" applyFill="1" applyBorder="1" applyAlignment="1" applyProtection="1">
      <alignment horizontal="right"/>
    </xf>
    <xf numFmtId="3" fontId="32" fillId="0" borderId="6" xfId="0" applyNumberFormat="1" applyFont="1" applyFill="1" applyBorder="1" applyAlignment="1" applyProtection="1">
      <alignment horizontal="right"/>
    </xf>
    <xf numFmtId="37" fontId="97" fillId="0" borderId="6" xfId="0" applyNumberFormat="1" applyFont="1" applyFill="1" applyBorder="1" applyAlignment="1" applyProtection="1">
      <alignment horizontal="right"/>
    </xf>
    <xf numFmtId="1" fontId="0" fillId="0" borderId="0" xfId="0" applyNumberFormat="1" applyBorder="1" applyAlignment="1" applyProtection="1">
      <alignment horizontal="right"/>
    </xf>
    <xf numFmtId="1" fontId="97" fillId="0" borderId="0" xfId="0" applyNumberFormat="1" applyFont="1" applyBorder="1" applyAlignment="1" applyProtection="1">
      <alignment horizontal="right"/>
    </xf>
    <xf numFmtId="167" fontId="97" fillId="0" borderId="0" xfId="0" applyNumberFormat="1" applyFont="1" applyBorder="1" applyAlignment="1" applyProtection="1">
      <alignment horizontal="right"/>
    </xf>
    <xf numFmtId="10" fontId="97" fillId="0" borderId="0" xfId="0" applyNumberFormat="1" applyFont="1" applyBorder="1" applyAlignment="1" applyProtection="1">
      <alignment horizontal="right"/>
    </xf>
    <xf numFmtId="10" fontId="97" fillId="0" borderId="0" xfId="0" applyNumberFormat="1" applyFont="1" applyFill="1" applyBorder="1" applyAlignment="1" applyProtection="1">
      <alignment horizontal="right"/>
    </xf>
    <xf numFmtId="167" fontId="39" fillId="0" borderId="0" xfId="0" applyNumberFormat="1" applyFont="1" applyFill="1" applyBorder="1" applyAlignment="1" applyProtection="1">
      <alignment horizontal="right"/>
    </xf>
    <xf numFmtId="9" fontId="112" fillId="0" borderId="0" xfId="0" applyNumberFormat="1" applyFont="1" applyFill="1" applyBorder="1" applyAlignment="1" applyProtection="1">
      <alignment horizontal="right"/>
    </xf>
    <xf numFmtId="37" fontId="21" fillId="9" borderId="59" xfId="0" applyNumberFormat="1" applyFont="1" applyFill="1" applyBorder="1" applyProtection="1"/>
    <xf numFmtId="37" fontId="21" fillId="9" borderId="12" xfId="0" applyNumberFormat="1" applyFont="1" applyFill="1" applyBorder="1" applyProtection="1"/>
    <xf numFmtId="37" fontId="21" fillId="9" borderId="60" xfId="0" applyNumberFormat="1" applyFont="1" applyFill="1" applyBorder="1" applyProtection="1"/>
    <xf numFmtId="167" fontId="21" fillId="9" borderId="12" xfId="0" applyNumberFormat="1" applyFont="1" applyFill="1" applyBorder="1" applyAlignment="1" applyProtection="1">
      <alignment horizontal="center"/>
    </xf>
    <xf numFmtId="0" fontId="10" fillId="9" borderId="3" xfId="0" applyFont="1" applyFill="1" applyBorder="1"/>
    <xf numFmtId="3" fontId="114" fillId="9" borderId="0" xfId="0" applyNumberFormat="1" applyFont="1" applyFill="1" applyBorder="1"/>
    <xf numFmtId="0" fontId="69" fillId="9" borderId="0" xfId="0" applyFont="1" applyFill="1"/>
    <xf numFmtId="3" fontId="10" fillId="9" borderId="0" xfId="0" applyNumberFormat="1" applyFont="1" applyFill="1"/>
    <xf numFmtId="3" fontId="96" fillId="9" borderId="0" xfId="0" applyNumberFormat="1" applyFont="1" applyFill="1"/>
    <xf numFmtId="0" fontId="10" fillId="9" borderId="0" xfId="0" applyFont="1" applyFill="1"/>
    <xf numFmtId="0" fontId="69" fillId="9" borderId="0" xfId="0" applyFont="1" applyFill="1" applyAlignment="1">
      <alignment horizontal="center"/>
    </xf>
    <xf numFmtId="3" fontId="69" fillId="9" borderId="0" xfId="0" applyNumberFormat="1" applyFont="1" applyFill="1"/>
    <xf numFmtId="3" fontId="10" fillId="9" borderId="151" xfId="0" applyNumberFormat="1" applyFont="1" applyFill="1" applyBorder="1"/>
    <xf numFmtId="2" fontId="39" fillId="9" borderId="0" xfId="0" applyNumberFormat="1" applyFont="1" applyFill="1"/>
    <xf numFmtId="3" fontId="114" fillId="0" borderId="0" xfId="0" applyNumberFormat="1" applyFont="1" applyFill="1"/>
    <xf numFmtId="0" fontId="112" fillId="0" borderId="0" xfId="0" applyFont="1"/>
    <xf numFmtId="3" fontId="112" fillId="0" borderId="0" xfId="0" applyNumberFormat="1" applyFont="1"/>
    <xf numFmtId="1" fontId="0" fillId="0" borderId="0" xfId="0" applyNumberFormat="1"/>
    <xf numFmtId="0" fontId="100" fillId="0" borderId="0" xfId="0" applyFont="1" applyAlignment="1">
      <alignment horizontal="center"/>
    </xf>
    <xf numFmtId="0" fontId="100" fillId="0" borderId="0" xfId="0" applyFont="1" applyBorder="1" applyAlignment="1">
      <alignment horizontal="center"/>
    </xf>
    <xf numFmtId="0" fontId="0" fillId="8" borderId="0" xfId="0" applyFill="1" applyAlignment="1">
      <alignment horizontal="center"/>
    </xf>
    <xf numFmtId="0" fontId="0" fillId="12" borderId="0" xfId="0" applyFill="1" applyAlignment="1">
      <alignment horizontal="center"/>
    </xf>
    <xf numFmtId="0" fontId="10" fillId="0" borderId="144" xfId="0" applyFont="1" applyBorder="1" applyAlignment="1">
      <alignment horizontal="center"/>
    </xf>
    <xf numFmtId="0" fontId="10" fillId="0" borderId="145" xfId="0" applyFont="1" applyBorder="1" applyAlignment="1">
      <alignment horizontal="center"/>
    </xf>
    <xf numFmtId="0" fontId="0" fillId="0" borderId="32" xfId="0" applyBorder="1" applyAlignment="1">
      <alignment horizontal="center"/>
    </xf>
    <xf numFmtId="0" fontId="0" fillId="0" borderId="61" xfId="0" applyBorder="1" applyAlignment="1">
      <alignment horizontal="center"/>
    </xf>
    <xf numFmtId="0" fontId="40" fillId="6" borderId="27" xfId="0" applyFont="1" applyFill="1" applyBorder="1" applyAlignment="1" applyProtection="1">
      <alignment horizontal="center"/>
    </xf>
    <xf numFmtId="0" fontId="40" fillId="6" borderId="29" xfId="0" applyFont="1" applyFill="1" applyBorder="1" applyAlignment="1" applyProtection="1">
      <alignment horizontal="center"/>
    </xf>
    <xf numFmtId="0" fontId="40" fillId="6" borderId="28" xfId="0" applyFont="1" applyFill="1" applyBorder="1" applyAlignment="1" applyProtection="1">
      <alignment horizontal="center"/>
    </xf>
    <xf numFmtId="0" fontId="0" fillId="0" borderId="0" xfId="0" applyFill="1" applyBorder="1" applyAlignment="1" applyProtection="1">
      <alignment horizontal="center"/>
    </xf>
    <xf numFmtId="0" fontId="1" fillId="0" borderId="0" xfId="0" applyFont="1" applyAlignment="1">
      <alignment horizontal="left" vertical="top" wrapText="1"/>
    </xf>
    <xf numFmtId="0" fontId="1" fillId="0" borderId="94" xfId="5" applyFont="1" applyBorder="1" applyAlignment="1">
      <alignment horizontal="center"/>
    </xf>
  </cellXfs>
  <cellStyles count="8">
    <cellStyle name="Comma" xfId="1" builtinId="3"/>
    <cellStyle name="Hyperlink" xfId="2" builtinId="8"/>
    <cellStyle name="Hyperlink 2" xfId="6"/>
    <cellStyle name="Normal" xfId="0" builtinId="0"/>
    <cellStyle name="Normal 2" xfId="5"/>
    <cellStyle name="Normal 3" xfId="7"/>
    <cellStyle name="Normal_CatchbyAge_Sock" xfId="3"/>
    <cellStyle name="Percent" xfId="4" builtinId="5"/>
  </cellStyles>
  <dxfs count="1">
    <dxf>
      <font>
        <condense val="0"/>
        <extend val="0"/>
        <color rgb="FF9C0006"/>
      </font>
      <fill>
        <patternFill>
          <bgColor rgb="FFFFC7CE"/>
        </pattern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8.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externalLink" Target="externalLinks/externalLink3.xml"/><Relationship Id="rId42" Type="http://schemas.openxmlformats.org/officeDocument/2006/relationships/externalLink" Target="externalLinks/externalLink11.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2.xml"/><Relationship Id="rId38" Type="http://schemas.openxmlformats.org/officeDocument/2006/relationships/externalLink" Target="externalLinks/externalLink7.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1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externalLink" Target="externalLinks/externalLink6.xml"/><Relationship Id="rId40" Type="http://schemas.openxmlformats.org/officeDocument/2006/relationships/externalLink" Target="externalLinks/externalLink9.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4.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2594512642441525E-2"/>
          <c:y val="2.9925929070186978E-2"/>
          <c:w val="0.89016273780994126"/>
          <c:h val="0.88252456650465849"/>
        </c:manualLayout>
      </c:layout>
      <c:barChart>
        <c:barDir val="col"/>
        <c:grouping val="clustered"/>
        <c:varyColors val="0"/>
        <c:ser>
          <c:idx val="0"/>
          <c:order val="0"/>
          <c:invertIfNegative val="0"/>
          <c:cat>
            <c:numRef>
              <c:f>'Rank data'!$A$108:$A$136</c:f>
              <c:numCache>
                <c:formatCode>General</c:formatCode>
                <c:ptCount val="29"/>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numCache>
            </c:numRef>
          </c:cat>
          <c:val>
            <c:numRef>
              <c:f>'Rank data'!$R$108:$R$142</c:f>
              <c:numCache>
                <c:formatCode>#,##0</c:formatCode>
                <c:ptCount val="35"/>
                <c:pt idx="0">
                  <c:v>295345.6797237664</c:v>
                </c:pt>
                <c:pt idx="1">
                  <c:v>476050.26659383869</c:v>
                </c:pt>
                <c:pt idx="2">
                  <c:v>383870.7838385498</c:v>
                </c:pt>
                <c:pt idx="3">
                  <c:v>433651.42991930794</c:v>
                </c:pt>
                <c:pt idx="4">
                  <c:v>499791.73615241167</c:v>
                </c:pt>
                <c:pt idx="5">
                  <c:v>327369.31572748127</c:v>
                </c:pt>
                <c:pt idx="6">
                  <c:v>361591.00557456672</c:v>
                </c:pt>
                <c:pt idx="7">
                  <c:v>384602.99389258347</c:v>
                </c:pt>
                <c:pt idx="8">
                  <c:v>389149.97595582763</c:v>
                </c:pt>
                <c:pt idx="9">
                  <c:v>477667.37842492911</c:v>
                </c:pt>
                <c:pt idx="10">
                  <c:v>472978.01983819774</c:v>
                </c:pt>
                <c:pt idx="11">
                  <c:v>387195.92208594619</c:v>
                </c:pt>
                <c:pt idx="12">
                  <c:v>406255.04056437232</c:v>
                </c:pt>
                <c:pt idx="13">
                  <c:v>538602.10807092034</c:v>
                </c:pt>
                <c:pt idx="14">
                  <c:v>461315.28339619539</c:v>
                </c:pt>
                <c:pt idx="15">
                  <c:v>376565.42146727804</c:v>
                </c:pt>
                <c:pt idx="16">
                  <c:v>546131.32951188635</c:v>
                </c:pt>
                <c:pt idx="17">
                  <c:v>756179.40971794142</c:v>
                </c:pt>
                <c:pt idx="18">
                  <c:v>462395.79722662957</c:v>
                </c:pt>
                <c:pt idx="19">
                  <c:v>449892</c:v>
                </c:pt>
                <c:pt idx="20">
                  <c:v>343691</c:v>
                </c:pt>
                <c:pt idx="21">
                  <c:v>538681</c:v>
                </c:pt>
                <c:pt idx="22">
                  <c:v>581717</c:v>
                </c:pt>
                <c:pt idx="23">
                  <c:v>507895</c:v>
                </c:pt>
                <c:pt idx="24">
                  <c:v>448534</c:v>
                </c:pt>
                <c:pt idx="25">
                  <c:v>515599.30056050722</c:v>
                </c:pt>
                <c:pt idx="26">
                  <c:v>579552</c:v>
                </c:pt>
                <c:pt idx="27">
                  <c:v>612083</c:v>
                </c:pt>
                <c:pt idx="28">
                  <c:v>480597</c:v>
                </c:pt>
                <c:pt idx="29">
                  <c:v>468725</c:v>
                </c:pt>
                <c:pt idx="30">
                  <c:v>502995</c:v>
                </c:pt>
                <c:pt idx="31">
                  <c:v>607657</c:v>
                </c:pt>
                <c:pt idx="32">
                  <c:v>954272</c:v>
                </c:pt>
                <c:pt idx="33">
                  <c:v>860934</c:v>
                </c:pt>
                <c:pt idx="34">
                  <c:v>862424</c:v>
                </c:pt>
              </c:numCache>
            </c:numRef>
          </c:val>
        </c:ser>
        <c:ser>
          <c:idx val="1"/>
          <c:order val="1"/>
          <c:invertIfNegative val="0"/>
          <c:cat>
            <c:numRef>
              <c:f>'Rank data'!$A$108:$A$136</c:f>
              <c:numCache>
                <c:formatCode>General</c:formatCode>
                <c:ptCount val="29"/>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numCache>
            </c:numRef>
          </c:cat>
          <c:val>
            <c:numRef>
              <c:f>'Rank data'!$T$108:$T$142</c:f>
              <c:numCache>
                <c:formatCode>#,##0</c:formatCode>
                <c:ptCount val="35"/>
                <c:pt idx="0">
                  <c:v>181750</c:v>
                </c:pt>
                <c:pt idx="1">
                  <c:v>143050</c:v>
                </c:pt>
                <c:pt idx="2">
                  <c:v>106770</c:v>
                </c:pt>
                <c:pt idx="3">
                  <c:v>115750</c:v>
                </c:pt>
                <c:pt idx="4">
                  <c:v>168840</c:v>
                </c:pt>
                <c:pt idx="5">
                  <c:v>142050</c:v>
                </c:pt>
                <c:pt idx="6">
                  <c:v>75295</c:v>
                </c:pt>
                <c:pt idx="7">
                  <c:v>60698</c:v>
                </c:pt>
                <c:pt idx="8">
                  <c:v>53315</c:v>
                </c:pt>
                <c:pt idx="9">
                  <c:v>51700</c:v>
                </c:pt>
                <c:pt idx="10">
                  <c:v>73345</c:v>
                </c:pt>
                <c:pt idx="11">
                  <c:v>90500</c:v>
                </c:pt>
                <c:pt idx="12">
                  <c:v>76827</c:v>
                </c:pt>
                <c:pt idx="13">
                  <c:v>57720</c:v>
                </c:pt>
                <c:pt idx="14">
                  <c:v>78370</c:v>
                </c:pt>
                <c:pt idx="15">
                  <c:v>76370</c:v>
                </c:pt>
                <c:pt idx="16">
                  <c:v>65470</c:v>
                </c:pt>
                <c:pt idx="17">
                  <c:v>72562.6486013986</c:v>
                </c:pt>
                <c:pt idx="18">
                  <c:v>87500</c:v>
                </c:pt>
                <c:pt idx="19">
                  <c:v>100925</c:v>
                </c:pt>
                <c:pt idx="20">
                  <c:v>98045</c:v>
                </c:pt>
                <c:pt idx="21">
                  <c:v>71065</c:v>
                </c:pt>
                <c:pt idx="22">
                  <c:v>75735</c:v>
                </c:pt>
                <c:pt idx="23">
                  <c:v>73150</c:v>
                </c:pt>
                <c:pt idx="24">
                  <c:v>69385</c:v>
                </c:pt>
                <c:pt idx="25">
                  <c:v>58406</c:v>
                </c:pt>
                <c:pt idx="26">
                  <c:v>98896</c:v>
                </c:pt>
                <c:pt idx="27">
                  <c:v>88285</c:v>
                </c:pt>
                <c:pt idx="28">
                  <c:v>67950</c:v>
                </c:pt>
                <c:pt idx="29">
                  <c:v>68622</c:v>
                </c:pt>
                <c:pt idx="30">
                  <c:v>83285</c:v>
                </c:pt>
                <c:pt idx="31">
                  <c:v>76507</c:v>
                </c:pt>
                <c:pt idx="32">
                  <c:v>66850</c:v>
                </c:pt>
                <c:pt idx="33">
                  <c:v>73505</c:v>
                </c:pt>
                <c:pt idx="34">
                  <c:v>64205</c:v>
                </c:pt>
              </c:numCache>
            </c:numRef>
          </c:val>
        </c:ser>
        <c:dLbls>
          <c:showLegendKey val="0"/>
          <c:showVal val="0"/>
          <c:showCatName val="0"/>
          <c:showSerName val="0"/>
          <c:showPercent val="0"/>
          <c:showBubbleSize val="0"/>
        </c:dLbls>
        <c:gapWidth val="150"/>
        <c:axId val="347550848"/>
        <c:axId val="347552384"/>
      </c:barChart>
      <c:catAx>
        <c:axId val="347550848"/>
        <c:scaling>
          <c:orientation val="minMax"/>
        </c:scaling>
        <c:delete val="0"/>
        <c:axPos val="b"/>
        <c:numFmt formatCode="General" sourceLinked="1"/>
        <c:majorTickMark val="out"/>
        <c:minorTickMark val="none"/>
        <c:tickLblPos val="nextTo"/>
        <c:crossAx val="347552384"/>
        <c:crosses val="autoZero"/>
        <c:auto val="1"/>
        <c:lblAlgn val="ctr"/>
        <c:lblOffset val="100"/>
        <c:noMultiLvlLbl val="0"/>
      </c:catAx>
      <c:valAx>
        <c:axId val="347552384"/>
        <c:scaling>
          <c:orientation val="minMax"/>
        </c:scaling>
        <c:delete val="0"/>
        <c:axPos val="l"/>
        <c:numFmt formatCode="#,##0" sourceLinked="1"/>
        <c:majorTickMark val="out"/>
        <c:minorTickMark val="none"/>
        <c:tickLblPos val="nextTo"/>
        <c:crossAx val="347550848"/>
        <c:crosses val="autoZero"/>
        <c:crossBetween val="between"/>
      </c:valAx>
    </c:plotArea>
    <c:legend>
      <c:legendPos val="r"/>
      <c:layout>
        <c:manualLayout>
          <c:xMode val="edge"/>
          <c:yMode val="edge"/>
          <c:x val="0.13541543810879886"/>
          <c:y val="0.20867144173713534"/>
          <c:w val="4.4050856110852396E-2"/>
          <c:h val="9.7481931801644578E-2"/>
        </c:manualLayout>
      </c:layout>
      <c:overlay val="0"/>
    </c:legend>
    <c:plotVisOnly val="1"/>
    <c:dispBlanksAs val="gap"/>
    <c:showDLblsOverMax val="0"/>
  </c:chart>
  <c:printSettings>
    <c:headerFooter/>
    <c:pageMargins b="0.75000000000000455" l="0.70000000000000062" r="0.70000000000000062" t="0.750000000000004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cat>
            <c:numRef>
              <c:f>'Rank data'!$A$93:$A$142</c:f>
              <c:numCache>
                <c:formatCode>General</c:formatCode>
                <c:ptCount val="50"/>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numCache>
            </c:numRef>
          </c:cat>
          <c:val>
            <c:numRef>
              <c:f>'Rank data'!$F$93:$F$142</c:f>
              <c:numCache>
                <c:formatCode>#,##0</c:formatCode>
                <c:ptCount val="50"/>
                <c:pt idx="0">
                  <c:v>1248906</c:v>
                </c:pt>
                <c:pt idx="1">
                  <c:v>1426968</c:v>
                </c:pt>
                <c:pt idx="2">
                  <c:v>704978</c:v>
                </c:pt>
                <c:pt idx="3">
                  <c:v>848112</c:v>
                </c:pt>
                <c:pt idx="4">
                  <c:v>1278538</c:v>
                </c:pt>
                <c:pt idx="5">
                  <c:v>1491682</c:v>
                </c:pt>
                <c:pt idx="6">
                  <c:v>1250648</c:v>
                </c:pt>
                <c:pt idx="7">
                  <c:v>1168448</c:v>
                </c:pt>
                <c:pt idx="8">
                  <c:v>794980</c:v>
                </c:pt>
                <c:pt idx="9">
                  <c:v>843680</c:v>
                </c:pt>
                <c:pt idx="10">
                  <c:v>523359</c:v>
                </c:pt>
                <c:pt idx="11">
                  <c:v>1137425</c:v>
                </c:pt>
                <c:pt idx="12">
                  <c:v>1001882</c:v>
                </c:pt>
                <c:pt idx="13">
                  <c:v>512972.70547443983</c:v>
                </c:pt>
                <c:pt idx="14">
                  <c:v>626377.1474358975</c:v>
                </c:pt>
                <c:pt idx="15">
                  <c:v>665580.6797237664</c:v>
                </c:pt>
                <c:pt idx="16">
                  <c:v>1331221.0318549268</c:v>
                </c:pt>
                <c:pt idx="17">
                  <c:v>1905219.1797603075</c:v>
                </c:pt>
                <c:pt idx="18">
                  <c:v>1442855.8681101864</c:v>
                </c:pt>
                <c:pt idx="19">
                  <c:v>1831932.7361524117</c:v>
                </c:pt>
                <c:pt idx="20">
                  <c:v>1659078.2163551403</c:v>
                </c:pt>
                <c:pt idx="21">
                  <c:v>1386606.0055745668</c:v>
                </c:pt>
                <c:pt idx="22">
                  <c:v>1796881.9938925835</c:v>
                </c:pt>
                <c:pt idx="23">
                  <c:v>1177899.9759558276</c:v>
                </c:pt>
                <c:pt idx="24">
                  <c:v>1745463.378424929</c:v>
                </c:pt>
                <c:pt idx="25">
                  <c:v>1586321.0198381976</c:v>
                </c:pt>
                <c:pt idx="26">
                  <c:v>1940166.2455192734</c:v>
                </c:pt>
                <c:pt idx="27">
                  <c:v>1700543.7818730769</c:v>
                </c:pt>
                <c:pt idx="28">
                  <c:v>2302219.1080709202</c:v>
                </c:pt>
                <c:pt idx="29">
                  <c:v>2015036.2833961954</c:v>
                </c:pt>
                <c:pt idx="30">
                  <c:v>2007566.4214672782</c:v>
                </c:pt>
                <c:pt idx="31">
                  <c:v>3341517.3295118865</c:v>
                </c:pt>
                <c:pt idx="32">
                  <c:v>4225244.7069207383</c:v>
                </c:pt>
                <c:pt idx="33">
                  <c:v>2340017.7972266297</c:v>
                </c:pt>
                <c:pt idx="34">
                  <c:v>2707194</c:v>
                </c:pt>
                <c:pt idx="35">
                  <c:v>1681744</c:v>
                </c:pt>
                <c:pt idx="36">
                  <c:v>2311586</c:v>
                </c:pt>
                <c:pt idx="37">
                  <c:v>2202985</c:v>
                </c:pt>
                <c:pt idx="38">
                  <c:v>2046646</c:v>
                </c:pt>
                <c:pt idx="39">
                  <c:v>1833209</c:v>
                </c:pt>
                <c:pt idx="40">
                  <c:v>2279144.300560507</c:v>
                </c:pt>
                <c:pt idx="41">
                  <c:v>2594388</c:v>
                </c:pt>
                <c:pt idx="42">
                  <c:v>2962986</c:v>
                </c:pt>
                <c:pt idx="43">
                  <c:v>1142115</c:v>
                </c:pt>
                <c:pt idx="44">
                  <c:v>1725677</c:v>
                </c:pt>
                <c:pt idx="45">
                  <c:v>1720439</c:v>
                </c:pt>
                <c:pt idx="46">
                  <c:v>3105686</c:v>
                </c:pt>
                <c:pt idx="47">
                  <c:v>3275588</c:v>
                </c:pt>
                <c:pt idx="48">
                  <c:v>3008925</c:v>
                </c:pt>
                <c:pt idx="49">
                  <c:v>3313890.1025</c:v>
                </c:pt>
              </c:numCache>
            </c:numRef>
          </c:val>
          <c:smooth val="0"/>
        </c:ser>
        <c:dLbls>
          <c:showLegendKey val="0"/>
          <c:showVal val="0"/>
          <c:showCatName val="0"/>
          <c:showSerName val="0"/>
          <c:showPercent val="0"/>
          <c:showBubbleSize val="0"/>
        </c:dLbls>
        <c:marker val="1"/>
        <c:smooth val="0"/>
        <c:axId val="347570176"/>
        <c:axId val="347571712"/>
      </c:lineChart>
      <c:catAx>
        <c:axId val="347570176"/>
        <c:scaling>
          <c:orientation val="minMax"/>
        </c:scaling>
        <c:delete val="0"/>
        <c:axPos val="b"/>
        <c:numFmt formatCode="General" sourceLinked="1"/>
        <c:majorTickMark val="out"/>
        <c:minorTickMark val="none"/>
        <c:tickLblPos val="nextTo"/>
        <c:crossAx val="347571712"/>
        <c:crosses val="autoZero"/>
        <c:auto val="1"/>
        <c:lblAlgn val="ctr"/>
        <c:lblOffset val="100"/>
        <c:noMultiLvlLbl val="0"/>
      </c:catAx>
      <c:valAx>
        <c:axId val="347571712"/>
        <c:scaling>
          <c:orientation val="minMax"/>
        </c:scaling>
        <c:delete val="0"/>
        <c:axPos val="l"/>
        <c:majorGridlines/>
        <c:numFmt formatCode="#,##0" sourceLinked="1"/>
        <c:majorTickMark val="out"/>
        <c:minorTickMark val="none"/>
        <c:tickLblPos val="nextTo"/>
        <c:crossAx val="34757017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Copper River wild sockeye salmon</a:t>
            </a:r>
          </a:p>
          <a:p>
            <a:pPr>
              <a:defRPr/>
            </a:pPr>
            <a:r>
              <a:rPr lang="en-US"/>
              <a:t>Total Run and rank</a:t>
            </a:r>
          </a:p>
        </c:rich>
      </c:tx>
      <c:layout/>
      <c:overlay val="1"/>
    </c:title>
    <c:autoTitleDeleted val="0"/>
    <c:plotArea>
      <c:layout/>
      <c:barChart>
        <c:barDir val="col"/>
        <c:grouping val="clustered"/>
        <c:varyColors val="0"/>
        <c:ser>
          <c:idx val="0"/>
          <c:order val="0"/>
          <c:invertIfNegative val="0"/>
          <c:dPt>
            <c:idx val="50"/>
            <c:invertIfNegative val="0"/>
            <c:bubble3D val="0"/>
            <c:spPr>
              <a:solidFill>
                <a:srgbClr val="FF0000"/>
              </a:solidFill>
            </c:spPr>
          </c:dPt>
          <c:dLbls>
            <c:dLbl>
              <c:idx val="0"/>
              <c:layout/>
              <c:tx>
                <c:strRef>
                  <c:f>'Rank data'!$BD$93</c:f>
                  <c:strCache>
                    <c:ptCount val="1"/>
                    <c:pt idx="0">
                      <c:v>37</c:v>
                    </c:pt>
                  </c:strCache>
                </c:strRef>
              </c:tx>
              <c:showLegendKey val="0"/>
              <c:showVal val="1"/>
              <c:showCatName val="0"/>
              <c:showSerName val="0"/>
              <c:showPercent val="0"/>
              <c:showBubbleSize val="0"/>
            </c:dLbl>
            <c:dLbl>
              <c:idx val="1"/>
              <c:layout/>
              <c:tx>
                <c:strRef>
                  <c:f>'Rank data'!$BD$94</c:f>
                  <c:strCache>
                    <c:ptCount val="1"/>
                    <c:pt idx="0">
                      <c:v>31</c:v>
                    </c:pt>
                  </c:strCache>
                </c:strRef>
              </c:tx>
              <c:showLegendKey val="0"/>
              <c:showVal val="1"/>
              <c:showCatName val="0"/>
              <c:showSerName val="0"/>
              <c:showPercent val="0"/>
              <c:showBubbleSize val="0"/>
            </c:dLbl>
            <c:dLbl>
              <c:idx val="2"/>
              <c:layout/>
              <c:tx>
                <c:strRef>
                  <c:f>'Rank data'!$BD$95</c:f>
                  <c:strCache>
                    <c:ptCount val="1"/>
                    <c:pt idx="0">
                      <c:v>47</c:v>
                    </c:pt>
                  </c:strCache>
                </c:strRef>
              </c:tx>
              <c:showLegendKey val="0"/>
              <c:showVal val="1"/>
              <c:showCatName val="0"/>
              <c:showSerName val="0"/>
              <c:showPercent val="0"/>
              <c:showBubbleSize val="0"/>
            </c:dLbl>
            <c:dLbl>
              <c:idx val="3"/>
              <c:layout/>
              <c:tx>
                <c:strRef>
                  <c:f>'Rank data'!$BD$96</c:f>
                  <c:strCache>
                    <c:ptCount val="1"/>
                    <c:pt idx="0">
                      <c:v>44</c:v>
                    </c:pt>
                  </c:strCache>
                </c:strRef>
              </c:tx>
              <c:showLegendKey val="0"/>
              <c:showVal val="1"/>
              <c:showCatName val="0"/>
              <c:showSerName val="0"/>
              <c:showPercent val="0"/>
              <c:showBubbleSize val="0"/>
            </c:dLbl>
            <c:dLbl>
              <c:idx val="4"/>
              <c:layout/>
              <c:tx>
                <c:strRef>
                  <c:f>'Rank data'!$BD$97</c:f>
                  <c:strCache>
                    <c:ptCount val="1"/>
                    <c:pt idx="0">
                      <c:v>34</c:v>
                    </c:pt>
                  </c:strCache>
                </c:strRef>
              </c:tx>
              <c:showLegendKey val="0"/>
              <c:showVal val="1"/>
              <c:showCatName val="0"/>
              <c:showSerName val="0"/>
              <c:showPercent val="0"/>
              <c:showBubbleSize val="0"/>
            </c:dLbl>
            <c:dLbl>
              <c:idx val="5"/>
              <c:layout/>
              <c:tx>
                <c:strRef>
                  <c:f>'Rank data'!$BD$98</c:f>
                  <c:strCache>
                    <c:ptCount val="1"/>
                    <c:pt idx="0">
                      <c:v>29</c:v>
                    </c:pt>
                  </c:strCache>
                </c:strRef>
              </c:tx>
              <c:showLegendKey val="0"/>
              <c:showVal val="1"/>
              <c:showCatName val="0"/>
              <c:showSerName val="0"/>
              <c:showPercent val="0"/>
              <c:showBubbleSize val="0"/>
            </c:dLbl>
            <c:dLbl>
              <c:idx val="6"/>
              <c:layout/>
              <c:tx>
                <c:strRef>
                  <c:f>'Rank data'!$BD$99</c:f>
                  <c:strCache>
                    <c:ptCount val="1"/>
                    <c:pt idx="0">
                      <c:v>36</c:v>
                    </c:pt>
                  </c:strCache>
                </c:strRef>
              </c:tx>
              <c:showLegendKey val="0"/>
              <c:showVal val="1"/>
              <c:showCatName val="0"/>
              <c:showSerName val="0"/>
              <c:showPercent val="0"/>
              <c:showBubbleSize val="0"/>
            </c:dLbl>
            <c:dLbl>
              <c:idx val="7"/>
              <c:layout/>
              <c:tx>
                <c:strRef>
                  <c:f>'Rank data'!$BD$100</c:f>
                  <c:strCache>
                    <c:ptCount val="1"/>
                    <c:pt idx="0">
                      <c:v>39</c:v>
                    </c:pt>
                  </c:strCache>
                </c:strRef>
              </c:tx>
              <c:showLegendKey val="0"/>
              <c:showVal val="1"/>
              <c:showCatName val="0"/>
              <c:showSerName val="0"/>
              <c:showPercent val="0"/>
              <c:showBubbleSize val="0"/>
            </c:dLbl>
            <c:dLbl>
              <c:idx val="8"/>
              <c:layout/>
              <c:tx>
                <c:strRef>
                  <c:f>'Rank data'!$BD$101</c:f>
                  <c:strCache>
                    <c:ptCount val="1"/>
                    <c:pt idx="0">
                      <c:v>46</c:v>
                    </c:pt>
                  </c:strCache>
                </c:strRef>
              </c:tx>
              <c:showLegendKey val="0"/>
              <c:showVal val="1"/>
              <c:showCatName val="0"/>
              <c:showSerName val="0"/>
              <c:showPercent val="0"/>
              <c:showBubbleSize val="0"/>
            </c:dLbl>
            <c:dLbl>
              <c:idx val="9"/>
              <c:layout/>
              <c:tx>
                <c:strRef>
                  <c:f>'Rank data'!$BD$102</c:f>
                  <c:strCache>
                    <c:ptCount val="1"/>
                    <c:pt idx="0">
                      <c:v>45</c:v>
                    </c:pt>
                  </c:strCache>
                </c:strRef>
              </c:tx>
              <c:showLegendKey val="0"/>
              <c:showVal val="1"/>
              <c:showCatName val="0"/>
              <c:showSerName val="0"/>
              <c:showPercent val="0"/>
              <c:showBubbleSize val="0"/>
            </c:dLbl>
            <c:dLbl>
              <c:idx val="10"/>
              <c:layout/>
              <c:tx>
                <c:strRef>
                  <c:f>'Rank data'!$BD$103</c:f>
                  <c:strCache>
                    <c:ptCount val="1"/>
                    <c:pt idx="0">
                      <c:v>50</c:v>
                    </c:pt>
                  </c:strCache>
                </c:strRef>
              </c:tx>
              <c:showLegendKey val="0"/>
              <c:showVal val="1"/>
              <c:showCatName val="0"/>
              <c:showSerName val="0"/>
              <c:showPercent val="0"/>
              <c:showBubbleSize val="0"/>
            </c:dLbl>
            <c:dLbl>
              <c:idx val="11"/>
              <c:layout/>
              <c:tx>
                <c:strRef>
                  <c:f>'Rank data'!$BD$104</c:f>
                  <c:strCache>
                    <c:ptCount val="1"/>
                    <c:pt idx="0">
                      <c:v>40</c:v>
                    </c:pt>
                  </c:strCache>
                </c:strRef>
              </c:tx>
              <c:showLegendKey val="0"/>
              <c:showVal val="1"/>
              <c:showCatName val="0"/>
              <c:showSerName val="0"/>
              <c:showPercent val="0"/>
              <c:showBubbleSize val="0"/>
            </c:dLbl>
            <c:dLbl>
              <c:idx val="12"/>
              <c:layout/>
              <c:tx>
                <c:strRef>
                  <c:f>'Rank data'!$BD$105</c:f>
                  <c:strCache>
                    <c:ptCount val="1"/>
                    <c:pt idx="0">
                      <c:v>43</c:v>
                    </c:pt>
                  </c:strCache>
                </c:strRef>
              </c:tx>
              <c:showLegendKey val="0"/>
              <c:showVal val="1"/>
              <c:showCatName val="0"/>
              <c:showSerName val="0"/>
              <c:showPercent val="0"/>
              <c:showBubbleSize val="0"/>
            </c:dLbl>
            <c:dLbl>
              <c:idx val="13"/>
              <c:layout/>
              <c:tx>
                <c:strRef>
                  <c:f>'Rank data'!$BD$106</c:f>
                  <c:strCache>
                    <c:ptCount val="1"/>
                    <c:pt idx="0">
                      <c:v>51</c:v>
                    </c:pt>
                  </c:strCache>
                </c:strRef>
              </c:tx>
              <c:showLegendKey val="0"/>
              <c:showVal val="1"/>
              <c:showCatName val="0"/>
              <c:showSerName val="0"/>
              <c:showPercent val="0"/>
              <c:showBubbleSize val="0"/>
            </c:dLbl>
            <c:dLbl>
              <c:idx val="14"/>
              <c:layout/>
              <c:tx>
                <c:strRef>
                  <c:f>'Rank data'!$BD$107</c:f>
                  <c:strCache>
                    <c:ptCount val="1"/>
                    <c:pt idx="0">
                      <c:v>49</c:v>
                    </c:pt>
                  </c:strCache>
                </c:strRef>
              </c:tx>
              <c:showLegendKey val="0"/>
              <c:showVal val="1"/>
              <c:showCatName val="0"/>
              <c:showSerName val="0"/>
              <c:showPercent val="0"/>
              <c:showBubbleSize val="0"/>
            </c:dLbl>
            <c:dLbl>
              <c:idx val="15"/>
              <c:layout/>
              <c:tx>
                <c:strRef>
                  <c:f>'Rank data'!$BD$108</c:f>
                  <c:strCache>
                    <c:ptCount val="1"/>
                    <c:pt idx="0">
                      <c:v>48</c:v>
                    </c:pt>
                  </c:strCache>
                </c:strRef>
              </c:tx>
              <c:showLegendKey val="0"/>
              <c:showVal val="1"/>
              <c:showCatName val="0"/>
              <c:showSerName val="0"/>
              <c:showPercent val="0"/>
              <c:showBubbleSize val="0"/>
            </c:dLbl>
            <c:dLbl>
              <c:idx val="16"/>
              <c:layout/>
              <c:tx>
                <c:strRef>
                  <c:f>'Rank data'!$BD$109</c:f>
                  <c:strCache>
                    <c:ptCount val="1"/>
                    <c:pt idx="0">
                      <c:v>33</c:v>
                    </c:pt>
                  </c:strCache>
                </c:strRef>
              </c:tx>
              <c:showLegendKey val="0"/>
              <c:showVal val="1"/>
              <c:showCatName val="0"/>
              <c:showSerName val="0"/>
              <c:showPercent val="0"/>
              <c:showBubbleSize val="0"/>
            </c:dLbl>
            <c:dLbl>
              <c:idx val="17"/>
              <c:layout/>
              <c:tx>
                <c:strRef>
                  <c:f>'Rank data'!$BD$110</c:f>
                  <c:strCache>
                    <c:ptCount val="1"/>
                    <c:pt idx="0">
                      <c:v>13</c:v>
                    </c:pt>
                  </c:strCache>
                </c:strRef>
              </c:tx>
              <c:showLegendKey val="0"/>
              <c:showVal val="1"/>
              <c:showCatName val="0"/>
              <c:showSerName val="0"/>
              <c:showPercent val="0"/>
              <c:showBubbleSize val="0"/>
            </c:dLbl>
            <c:dLbl>
              <c:idx val="18"/>
              <c:layout/>
              <c:tx>
                <c:strRef>
                  <c:f>'Rank data'!$BD$111</c:f>
                  <c:strCache>
                    <c:ptCount val="1"/>
                    <c:pt idx="0">
                      <c:v>30</c:v>
                    </c:pt>
                  </c:strCache>
                </c:strRef>
              </c:tx>
              <c:showLegendKey val="0"/>
              <c:showVal val="1"/>
              <c:showCatName val="0"/>
              <c:showSerName val="0"/>
              <c:showPercent val="0"/>
              <c:showBubbleSize val="0"/>
            </c:dLbl>
            <c:dLbl>
              <c:idx val="19"/>
              <c:layout/>
              <c:tx>
                <c:strRef>
                  <c:f>'Rank data'!$BD$112</c:f>
                  <c:strCache>
                    <c:ptCount val="1"/>
                    <c:pt idx="0">
                      <c:v>15</c:v>
                    </c:pt>
                  </c:strCache>
                </c:strRef>
              </c:tx>
              <c:showLegendKey val="0"/>
              <c:showVal val="1"/>
              <c:showCatName val="0"/>
              <c:showSerName val="0"/>
              <c:showPercent val="0"/>
              <c:showBubbleSize val="0"/>
            </c:dLbl>
            <c:dLbl>
              <c:idx val="20"/>
              <c:layout/>
              <c:tx>
                <c:strRef>
                  <c:f>'Rank data'!$BD$113</c:f>
                  <c:strCache>
                    <c:ptCount val="1"/>
                    <c:pt idx="0">
                      <c:v>24</c:v>
                    </c:pt>
                  </c:strCache>
                </c:strRef>
              </c:tx>
              <c:showLegendKey val="0"/>
              <c:showVal val="1"/>
              <c:showCatName val="0"/>
              <c:showSerName val="0"/>
              <c:showPercent val="0"/>
              <c:showBubbleSize val="0"/>
            </c:dLbl>
            <c:dLbl>
              <c:idx val="21"/>
              <c:layout/>
              <c:tx>
                <c:strRef>
                  <c:f>'Rank data'!$BD$114</c:f>
                  <c:strCache>
                    <c:ptCount val="1"/>
                    <c:pt idx="0">
                      <c:v>32</c:v>
                    </c:pt>
                  </c:strCache>
                </c:strRef>
              </c:tx>
              <c:showLegendKey val="0"/>
              <c:showVal val="1"/>
              <c:showCatName val="0"/>
              <c:showSerName val="0"/>
              <c:showPercent val="0"/>
              <c:showBubbleSize val="0"/>
            </c:dLbl>
            <c:dLbl>
              <c:idx val="22"/>
              <c:layout/>
              <c:tx>
                <c:strRef>
                  <c:f>'Rank data'!$BD$115</c:f>
                  <c:strCache>
                    <c:ptCount val="1"/>
                    <c:pt idx="0">
                      <c:v>21</c:v>
                    </c:pt>
                  </c:strCache>
                </c:strRef>
              </c:tx>
              <c:showLegendKey val="0"/>
              <c:showVal val="1"/>
              <c:showCatName val="0"/>
              <c:showSerName val="0"/>
              <c:showPercent val="0"/>
              <c:showBubbleSize val="0"/>
            </c:dLbl>
            <c:dLbl>
              <c:idx val="23"/>
              <c:layout/>
              <c:tx>
                <c:strRef>
                  <c:f>'Rank data'!$BD$116</c:f>
                  <c:strCache>
                    <c:ptCount val="1"/>
                    <c:pt idx="0">
                      <c:v>42</c:v>
                    </c:pt>
                  </c:strCache>
                </c:strRef>
              </c:tx>
              <c:showLegendKey val="0"/>
              <c:showVal val="1"/>
              <c:showCatName val="0"/>
              <c:showSerName val="0"/>
              <c:showPercent val="0"/>
              <c:showBubbleSize val="0"/>
            </c:dLbl>
            <c:dLbl>
              <c:idx val="24"/>
              <c:layout/>
              <c:tx>
                <c:strRef>
                  <c:f>'Rank data'!$BD$117</c:f>
                  <c:strCache>
                    <c:ptCount val="1"/>
                    <c:pt idx="0">
                      <c:v>27</c:v>
                    </c:pt>
                  </c:strCache>
                </c:strRef>
              </c:tx>
              <c:showLegendKey val="0"/>
              <c:showVal val="1"/>
              <c:showCatName val="0"/>
              <c:showSerName val="0"/>
              <c:showPercent val="0"/>
              <c:showBubbleSize val="0"/>
            </c:dLbl>
            <c:dLbl>
              <c:idx val="25"/>
              <c:layout/>
              <c:tx>
                <c:strRef>
                  <c:f>'Rank data'!$BD$118</c:f>
                  <c:strCache>
                    <c:ptCount val="1"/>
                    <c:pt idx="0">
                      <c:v>28</c:v>
                    </c:pt>
                  </c:strCache>
                </c:strRef>
              </c:tx>
              <c:showLegendKey val="0"/>
              <c:showVal val="1"/>
              <c:showCatName val="0"/>
              <c:showSerName val="0"/>
              <c:showPercent val="0"/>
              <c:showBubbleSize val="0"/>
            </c:dLbl>
            <c:dLbl>
              <c:idx val="26"/>
              <c:layout/>
              <c:tx>
                <c:strRef>
                  <c:f>'Rank data'!$BD$119</c:f>
                  <c:strCache>
                    <c:ptCount val="1"/>
                    <c:pt idx="0">
                      <c:v>17</c:v>
                    </c:pt>
                  </c:strCache>
                </c:strRef>
              </c:tx>
              <c:showLegendKey val="0"/>
              <c:showVal val="1"/>
              <c:showCatName val="0"/>
              <c:showSerName val="0"/>
              <c:showPercent val="0"/>
              <c:showBubbleSize val="0"/>
            </c:dLbl>
            <c:dLbl>
              <c:idx val="27"/>
              <c:layout/>
              <c:tx>
                <c:strRef>
                  <c:f>'Rank data'!$BD$120</c:f>
                  <c:strCache>
                    <c:ptCount val="1"/>
                    <c:pt idx="0">
                      <c:v>26</c:v>
                    </c:pt>
                  </c:strCache>
                </c:strRef>
              </c:tx>
              <c:showLegendKey val="0"/>
              <c:showVal val="1"/>
              <c:showCatName val="0"/>
              <c:showSerName val="0"/>
              <c:showPercent val="0"/>
              <c:showBubbleSize val="0"/>
            </c:dLbl>
            <c:dLbl>
              <c:idx val="28"/>
              <c:layout/>
              <c:tx>
                <c:strRef>
                  <c:f>'Rank data'!$BD$121</c:f>
                  <c:strCache>
                    <c:ptCount val="1"/>
                    <c:pt idx="0">
                      <c:v>11</c:v>
                    </c:pt>
                  </c:strCache>
                </c:strRef>
              </c:tx>
              <c:showLegendKey val="0"/>
              <c:showVal val="1"/>
              <c:showCatName val="0"/>
              <c:showSerName val="0"/>
              <c:showPercent val="0"/>
              <c:showBubbleSize val="0"/>
            </c:dLbl>
            <c:dLbl>
              <c:idx val="29"/>
              <c:layout/>
              <c:tx>
                <c:strRef>
                  <c:f>'Rank data'!$BD$122</c:f>
                  <c:strCache>
                    <c:ptCount val="1"/>
                    <c:pt idx="0">
                      <c:v>14</c:v>
                    </c:pt>
                  </c:strCache>
                </c:strRef>
              </c:tx>
              <c:showLegendKey val="0"/>
              <c:showVal val="1"/>
              <c:showCatName val="0"/>
              <c:showSerName val="0"/>
              <c:showPercent val="0"/>
              <c:showBubbleSize val="0"/>
            </c:dLbl>
            <c:dLbl>
              <c:idx val="30"/>
              <c:layout/>
              <c:tx>
                <c:strRef>
                  <c:f>'Rank data'!$BD$123</c:f>
                  <c:strCache>
                    <c:ptCount val="1"/>
                    <c:pt idx="0">
                      <c:v>19</c:v>
                    </c:pt>
                  </c:strCache>
                </c:strRef>
              </c:tx>
              <c:showLegendKey val="0"/>
              <c:showVal val="1"/>
              <c:showCatName val="0"/>
              <c:showSerName val="0"/>
              <c:showPercent val="0"/>
              <c:showBubbleSize val="0"/>
            </c:dLbl>
            <c:dLbl>
              <c:idx val="31"/>
              <c:layout/>
              <c:tx>
                <c:strRef>
                  <c:f>'Rank data'!$BD$124</c:f>
                  <c:strCache>
                    <c:ptCount val="1"/>
                    <c:pt idx="0">
                      <c:v>2</c:v>
                    </c:pt>
                  </c:strCache>
                </c:strRef>
              </c:tx>
              <c:showLegendKey val="0"/>
              <c:showVal val="1"/>
              <c:showCatName val="0"/>
              <c:showSerName val="0"/>
              <c:showPercent val="0"/>
              <c:showBubbleSize val="0"/>
            </c:dLbl>
            <c:dLbl>
              <c:idx val="32"/>
              <c:layout/>
              <c:tx>
                <c:strRef>
                  <c:f>'Rank data'!$BD$125</c:f>
                  <c:strCache>
                    <c:ptCount val="1"/>
                    <c:pt idx="0">
                      <c:v>1</c:v>
                    </c:pt>
                  </c:strCache>
                </c:strRef>
              </c:tx>
              <c:showLegendKey val="0"/>
              <c:showVal val="1"/>
              <c:showCatName val="0"/>
              <c:showSerName val="0"/>
              <c:showPercent val="0"/>
              <c:showBubbleSize val="0"/>
            </c:dLbl>
            <c:dLbl>
              <c:idx val="33"/>
              <c:layout/>
              <c:tx>
                <c:strRef>
                  <c:f>'Rank data'!$BD$126</c:f>
                  <c:strCache>
                    <c:ptCount val="1"/>
                    <c:pt idx="0">
                      <c:v>23</c:v>
                    </c:pt>
                  </c:strCache>
                </c:strRef>
              </c:tx>
              <c:showLegendKey val="0"/>
              <c:showVal val="1"/>
              <c:showCatName val="0"/>
              <c:showSerName val="0"/>
              <c:showPercent val="0"/>
              <c:showBubbleSize val="0"/>
            </c:dLbl>
            <c:dLbl>
              <c:idx val="34"/>
              <c:layout/>
              <c:tx>
                <c:strRef>
                  <c:f>'Rank data'!$BD$127</c:f>
                  <c:strCache>
                    <c:ptCount val="1"/>
                    <c:pt idx="0">
                      <c:v>22</c:v>
                    </c:pt>
                  </c:strCache>
                </c:strRef>
              </c:tx>
              <c:showLegendKey val="0"/>
              <c:showVal val="1"/>
              <c:showCatName val="0"/>
              <c:showSerName val="0"/>
              <c:showPercent val="0"/>
              <c:showBubbleSize val="0"/>
            </c:dLbl>
            <c:dLbl>
              <c:idx val="35"/>
              <c:layout/>
              <c:tx>
                <c:strRef>
                  <c:f>'Rank data'!$BD$128</c:f>
                  <c:strCache>
                    <c:ptCount val="1"/>
                    <c:pt idx="0">
                      <c:v>38</c:v>
                    </c:pt>
                  </c:strCache>
                </c:strRef>
              </c:tx>
              <c:showLegendKey val="0"/>
              <c:showVal val="1"/>
              <c:showCatName val="0"/>
              <c:showSerName val="0"/>
              <c:showPercent val="0"/>
              <c:showBubbleSize val="0"/>
            </c:dLbl>
            <c:dLbl>
              <c:idx val="36"/>
              <c:layout/>
              <c:tx>
                <c:strRef>
                  <c:f>'Rank data'!$BD$129</c:f>
                  <c:strCache>
                    <c:ptCount val="1"/>
                    <c:pt idx="0">
                      <c:v>12</c:v>
                    </c:pt>
                  </c:strCache>
                </c:strRef>
              </c:tx>
              <c:showLegendKey val="0"/>
              <c:showVal val="1"/>
              <c:showCatName val="0"/>
              <c:showSerName val="0"/>
              <c:showPercent val="0"/>
              <c:showBubbleSize val="0"/>
            </c:dLbl>
            <c:dLbl>
              <c:idx val="37"/>
              <c:layout/>
              <c:tx>
                <c:strRef>
                  <c:f>'Rank data'!$BD$130</c:f>
                  <c:strCache>
                    <c:ptCount val="1"/>
                    <c:pt idx="0">
                      <c:v>18</c:v>
                    </c:pt>
                  </c:strCache>
                </c:strRef>
              </c:tx>
              <c:showLegendKey val="0"/>
              <c:showVal val="1"/>
              <c:showCatName val="0"/>
              <c:showSerName val="0"/>
              <c:showPercent val="0"/>
              <c:showBubbleSize val="0"/>
            </c:dLbl>
            <c:dLbl>
              <c:idx val="38"/>
              <c:layout/>
              <c:tx>
                <c:strRef>
                  <c:f>'Rank data'!$BD$131</c:f>
                  <c:strCache>
                    <c:ptCount val="1"/>
                    <c:pt idx="0">
                      <c:v>16</c:v>
                    </c:pt>
                  </c:strCache>
                </c:strRef>
              </c:tx>
              <c:showLegendKey val="0"/>
              <c:showVal val="1"/>
              <c:showCatName val="0"/>
              <c:showSerName val="0"/>
              <c:showPercent val="0"/>
              <c:showBubbleSize val="0"/>
            </c:dLbl>
            <c:dLbl>
              <c:idx val="39"/>
              <c:layout/>
              <c:tx>
                <c:strRef>
                  <c:f>'Rank data'!$BD$132</c:f>
                  <c:strCache>
                    <c:ptCount val="1"/>
                    <c:pt idx="0">
                      <c:v>20</c:v>
                    </c:pt>
                  </c:strCache>
                </c:strRef>
              </c:tx>
              <c:showLegendKey val="0"/>
              <c:showVal val="1"/>
              <c:showCatName val="0"/>
              <c:showSerName val="0"/>
              <c:showPercent val="0"/>
              <c:showBubbleSize val="0"/>
            </c:dLbl>
            <c:dLbl>
              <c:idx val="40"/>
              <c:layout/>
              <c:tx>
                <c:strRef>
                  <c:f>'Rank data'!$BD$133</c:f>
                  <c:strCache>
                    <c:ptCount val="1"/>
                    <c:pt idx="0">
                      <c:v>10</c:v>
                    </c:pt>
                  </c:strCache>
                </c:strRef>
              </c:tx>
              <c:showLegendKey val="0"/>
              <c:showVal val="1"/>
              <c:showCatName val="0"/>
              <c:showSerName val="0"/>
              <c:showPercent val="0"/>
              <c:showBubbleSize val="0"/>
            </c:dLbl>
            <c:dLbl>
              <c:idx val="41"/>
              <c:layout/>
              <c:tx>
                <c:strRef>
                  <c:f>'Rank data'!$BD$134</c:f>
                  <c:strCache>
                    <c:ptCount val="1"/>
                    <c:pt idx="0">
                      <c:v>9</c:v>
                    </c:pt>
                  </c:strCache>
                </c:strRef>
              </c:tx>
              <c:showLegendKey val="0"/>
              <c:showVal val="1"/>
              <c:showCatName val="0"/>
              <c:showSerName val="0"/>
              <c:showPercent val="0"/>
              <c:showBubbleSize val="0"/>
            </c:dLbl>
            <c:dLbl>
              <c:idx val="42"/>
              <c:layout/>
              <c:tx>
                <c:strRef>
                  <c:f>'Rank data'!$BD$135</c:f>
                  <c:strCache>
                    <c:ptCount val="1"/>
                    <c:pt idx="0">
                      <c:v>4</c:v>
                    </c:pt>
                  </c:strCache>
                </c:strRef>
              </c:tx>
              <c:showLegendKey val="0"/>
              <c:showVal val="1"/>
              <c:showCatName val="0"/>
              <c:showSerName val="0"/>
              <c:showPercent val="0"/>
              <c:showBubbleSize val="0"/>
            </c:dLbl>
            <c:dLbl>
              <c:idx val="43"/>
              <c:layout/>
              <c:tx>
                <c:strRef>
                  <c:f>'Rank data'!$BD$136</c:f>
                  <c:strCache>
                    <c:ptCount val="1"/>
                    <c:pt idx="0">
                      <c:v>41</c:v>
                    </c:pt>
                  </c:strCache>
                </c:strRef>
              </c:tx>
              <c:showLegendKey val="0"/>
              <c:showVal val="1"/>
              <c:showCatName val="0"/>
              <c:showSerName val="0"/>
              <c:showPercent val="0"/>
              <c:showBubbleSize val="0"/>
            </c:dLbl>
            <c:dLbl>
              <c:idx val="44"/>
              <c:layout/>
              <c:tx>
                <c:strRef>
                  <c:f>'Rank data'!$BD$137</c:f>
                  <c:strCache>
                    <c:ptCount val="1"/>
                    <c:pt idx="0">
                      <c:v>25</c:v>
                    </c:pt>
                  </c:strCache>
                </c:strRef>
              </c:tx>
              <c:showLegendKey val="0"/>
              <c:showVal val="1"/>
              <c:showCatName val="0"/>
              <c:showSerName val="0"/>
              <c:showPercent val="0"/>
              <c:showBubbleSize val="0"/>
            </c:dLbl>
            <c:dLbl>
              <c:idx val="45"/>
              <c:layout/>
              <c:tx>
                <c:strRef>
                  <c:f>'Rank data'!$BD$138</c:f>
                  <c:strCache>
                    <c:ptCount val="1"/>
                    <c:pt idx="0">
                      <c:v>35</c:v>
                    </c:pt>
                  </c:strCache>
                </c:strRef>
              </c:tx>
              <c:showLegendKey val="0"/>
              <c:showVal val="1"/>
              <c:showCatName val="0"/>
              <c:showSerName val="0"/>
              <c:showPercent val="0"/>
              <c:showBubbleSize val="0"/>
            </c:dLbl>
            <c:dLbl>
              <c:idx val="46"/>
              <c:layout/>
              <c:tx>
                <c:strRef>
                  <c:f>'Rank data'!$BD$139</c:f>
                  <c:strCache>
                    <c:ptCount val="1"/>
                    <c:pt idx="0">
                      <c:v>8</c:v>
                    </c:pt>
                  </c:strCache>
                </c:strRef>
              </c:tx>
              <c:showLegendKey val="0"/>
              <c:showVal val="1"/>
              <c:showCatName val="0"/>
              <c:showSerName val="0"/>
              <c:showPercent val="0"/>
              <c:showBubbleSize val="0"/>
            </c:dLbl>
            <c:dLbl>
              <c:idx val="47"/>
              <c:layout/>
              <c:tx>
                <c:strRef>
                  <c:f>'Rank data'!$BD$140</c:f>
                  <c:strCache>
                    <c:ptCount val="1"/>
                    <c:pt idx="0">
                      <c:v>5</c:v>
                    </c:pt>
                  </c:strCache>
                </c:strRef>
              </c:tx>
              <c:showLegendKey val="0"/>
              <c:showVal val="1"/>
              <c:showCatName val="0"/>
              <c:showSerName val="0"/>
              <c:showPercent val="0"/>
              <c:showBubbleSize val="0"/>
            </c:dLbl>
            <c:dLbl>
              <c:idx val="48"/>
              <c:layout/>
              <c:tx>
                <c:strRef>
                  <c:f>'Rank data'!$BD$141</c:f>
                  <c:strCache>
                    <c:ptCount val="1"/>
                    <c:pt idx="0">
                      <c:v>7</c:v>
                    </c:pt>
                  </c:strCache>
                </c:strRef>
              </c:tx>
              <c:showLegendKey val="0"/>
              <c:showVal val="1"/>
              <c:showCatName val="0"/>
              <c:showSerName val="0"/>
              <c:showPercent val="0"/>
              <c:showBubbleSize val="0"/>
            </c:dLbl>
            <c:dLbl>
              <c:idx val="49"/>
              <c:layout/>
              <c:tx>
                <c:strRef>
                  <c:f>'Rank data'!$BD$142</c:f>
                  <c:strCache>
                    <c:ptCount val="1"/>
                    <c:pt idx="0">
                      <c:v>3</c:v>
                    </c:pt>
                  </c:strCache>
                </c:strRef>
              </c:tx>
              <c:showLegendKey val="0"/>
              <c:showVal val="1"/>
              <c:showCatName val="0"/>
              <c:showSerName val="0"/>
              <c:showPercent val="0"/>
              <c:showBubbleSize val="0"/>
            </c:dLbl>
            <c:dLbl>
              <c:idx val="50"/>
              <c:layout/>
              <c:tx>
                <c:strRef>
                  <c:f>'Rank data'!$BD$143</c:f>
                  <c:strCache>
                    <c:ptCount val="1"/>
                    <c:pt idx="0">
                      <c:v>6</c:v>
                    </c:pt>
                  </c:strCache>
                </c:strRef>
              </c:tx>
              <c:showLegendKey val="0"/>
              <c:showVal val="1"/>
              <c:showCatName val="0"/>
              <c:showSerName val="0"/>
              <c:showPercent val="0"/>
              <c:showBubbleSize val="0"/>
            </c:dLbl>
            <c:txPr>
              <a:bodyPr/>
              <a:lstStyle/>
              <a:p>
                <a:pPr>
                  <a:defRPr sz="1200">
                    <a:latin typeface="Times New Roman" panose="02020603050405020304" pitchFamily="18" charset="0"/>
                    <a:cs typeface="Times New Roman" panose="02020603050405020304" pitchFamily="18" charset="0"/>
                  </a:defRPr>
                </a:pPr>
                <a:endParaRPr lang="en-US"/>
              </a:p>
            </c:txPr>
            <c:showLegendKey val="0"/>
            <c:showVal val="1"/>
            <c:showCatName val="0"/>
            <c:showSerName val="0"/>
            <c:showPercent val="0"/>
            <c:showBubbleSize val="0"/>
            <c:showLeaderLines val="0"/>
          </c:dLbls>
          <c:cat>
            <c:numRef>
              <c:f>'Rank data'!$AY$93:$AY$143</c:f>
              <c:numCache>
                <c:formatCode>General</c:formatCode>
                <c:ptCount val="51"/>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numCache>
            </c:numRef>
          </c:cat>
          <c:val>
            <c:numRef>
              <c:f>'Rank data'!$AZ$93:$AZ$143</c:f>
              <c:numCache>
                <c:formatCode>#,##0</c:formatCode>
                <c:ptCount val="51"/>
                <c:pt idx="0">
                  <c:v>1248906</c:v>
                </c:pt>
                <c:pt idx="1">
                  <c:v>1426968</c:v>
                </c:pt>
                <c:pt idx="2">
                  <c:v>704978</c:v>
                </c:pt>
                <c:pt idx="3">
                  <c:v>848112</c:v>
                </c:pt>
                <c:pt idx="4">
                  <c:v>1278538</c:v>
                </c:pt>
                <c:pt idx="5">
                  <c:v>1491682</c:v>
                </c:pt>
                <c:pt idx="6">
                  <c:v>1250648</c:v>
                </c:pt>
                <c:pt idx="7">
                  <c:v>1168448</c:v>
                </c:pt>
                <c:pt idx="8">
                  <c:v>794980</c:v>
                </c:pt>
                <c:pt idx="9">
                  <c:v>843680</c:v>
                </c:pt>
                <c:pt idx="10">
                  <c:v>523359</c:v>
                </c:pt>
                <c:pt idx="11">
                  <c:v>1137425</c:v>
                </c:pt>
                <c:pt idx="12">
                  <c:v>1001564.2775033638</c:v>
                </c:pt>
                <c:pt idx="13">
                  <c:v>510878.70547443983</c:v>
                </c:pt>
                <c:pt idx="14">
                  <c:v>621659.1474358975</c:v>
                </c:pt>
                <c:pt idx="15">
                  <c:v>660391.6797237664</c:v>
                </c:pt>
                <c:pt idx="16">
                  <c:v>1322493.0318549268</c:v>
                </c:pt>
                <c:pt idx="17">
                  <c:v>1895557.1797603075</c:v>
                </c:pt>
                <c:pt idx="18">
                  <c:v>1428586.8681101864</c:v>
                </c:pt>
                <c:pt idx="19">
                  <c:v>1811514.7361524117</c:v>
                </c:pt>
                <c:pt idx="20">
                  <c:v>1604322.2163551403</c:v>
                </c:pt>
                <c:pt idx="21">
                  <c:v>1332560.0055745668</c:v>
                </c:pt>
                <c:pt idx="22">
                  <c:v>1718263.9938925835</c:v>
                </c:pt>
                <c:pt idx="23">
                  <c:v>1042871.9759558276</c:v>
                </c:pt>
                <c:pt idx="24">
                  <c:v>1509011.378424929</c:v>
                </c:pt>
                <c:pt idx="25">
                  <c:v>1495101.0198381976</c:v>
                </c:pt>
                <c:pt idx="26">
                  <c:v>1788048.9220859462</c:v>
                </c:pt>
                <c:pt idx="27">
                  <c:v>1569573.0405643724</c:v>
                </c:pt>
                <c:pt idx="28">
                  <c:v>2040314.1080709202</c:v>
                </c:pt>
                <c:pt idx="29">
                  <c:v>1838664.2833961954</c:v>
                </c:pt>
                <c:pt idx="30">
                  <c:v>1776292.4214672782</c:v>
                </c:pt>
                <c:pt idx="31">
                  <c:v>2861367.3295118865</c:v>
                </c:pt>
                <c:pt idx="32">
                  <c:v>3827961.7069207383</c:v>
                </c:pt>
                <c:pt idx="33">
                  <c:v>1644261.7972266297</c:v>
                </c:pt>
                <c:pt idx="34">
                  <c:v>1681595</c:v>
                </c:pt>
                <c:pt idx="35">
                  <c:v>1200684</c:v>
                </c:pt>
                <c:pt idx="36">
                  <c:v>2004403</c:v>
                </c:pt>
                <c:pt idx="37">
                  <c:v>1777856.5</c:v>
                </c:pt>
                <c:pt idx="38">
                  <c:v>1805186.5</c:v>
                </c:pt>
                <c:pt idx="39">
                  <c:v>1756052.7574119794</c:v>
                </c:pt>
                <c:pt idx="40">
                  <c:v>2070778.300560507</c:v>
                </c:pt>
                <c:pt idx="41">
                  <c:v>2242510</c:v>
                </c:pt>
                <c:pt idx="42">
                  <c:v>2823143</c:v>
                </c:pt>
                <c:pt idx="43">
                  <c:v>1056178</c:v>
                </c:pt>
                <c:pt idx="44">
                  <c:v>1589565</c:v>
                </c:pt>
                <c:pt idx="45">
                  <c:v>1270893</c:v>
                </c:pt>
                <c:pt idx="46">
                  <c:v>2539103</c:v>
                </c:pt>
                <c:pt idx="47">
                  <c:v>2810319.845475113</c:v>
                </c:pt>
                <c:pt idx="48">
                  <c:v>2539812</c:v>
                </c:pt>
                <c:pt idx="49">
                  <c:v>2847508.076601326</c:v>
                </c:pt>
                <c:pt idx="50">
                  <c:v>2746398.292268862</c:v>
                </c:pt>
              </c:numCache>
            </c:numRef>
          </c:val>
        </c:ser>
        <c:dLbls>
          <c:showLegendKey val="0"/>
          <c:showVal val="0"/>
          <c:showCatName val="0"/>
          <c:showSerName val="0"/>
          <c:showPercent val="0"/>
          <c:showBubbleSize val="0"/>
        </c:dLbls>
        <c:gapWidth val="70"/>
        <c:axId val="351192576"/>
        <c:axId val="351194112"/>
      </c:barChart>
      <c:catAx>
        <c:axId val="351192576"/>
        <c:scaling>
          <c:orientation val="minMax"/>
        </c:scaling>
        <c:delete val="0"/>
        <c:axPos val="b"/>
        <c:numFmt formatCode="General" sourceLinked="1"/>
        <c:majorTickMark val="out"/>
        <c:minorTickMark val="none"/>
        <c:tickLblPos val="nextTo"/>
        <c:txPr>
          <a:bodyPr rot="-5400000"/>
          <a:lstStyle/>
          <a:p>
            <a:pPr>
              <a:defRPr sz="1400">
                <a:latin typeface="Times New Roman" panose="02020603050405020304" pitchFamily="18" charset="0"/>
                <a:cs typeface="Times New Roman" panose="02020603050405020304" pitchFamily="18" charset="0"/>
              </a:defRPr>
            </a:pPr>
            <a:endParaRPr lang="en-US"/>
          </a:p>
        </c:txPr>
        <c:crossAx val="351194112"/>
        <c:crosses val="autoZero"/>
        <c:auto val="1"/>
        <c:lblAlgn val="ctr"/>
        <c:lblOffset val="100"/>
        <c:noMultiLvlLbl val="0"/>
      </c:catAx>
      <c:valAx>
        <c:axId val="351194112"/>
        <c:scaling>
          <c:orientation val="minMax"/>
        </c:scaling>
        <c:delete val="0"/>
        <c:axPos val="l"/>
        <c:majorGridlines>
          <c:spPr>
            <a:ln>
              <a:prstDash val="dash"/>
            </a:ln>
          </c:spPr>
        </c:majorGridlines>
        <c:title>
          <c:tx>
            <c:rich>
              <a:bodyPr rot="-5400000" vert="horz"/>
              <a:lstStyle/>
              <a:p>
                <a:pPr>
                  <a:defRPr sz="1400">
                    <a:latin typeface="Times New Roman" panose="02020603050405020304" pitchFamily="18" charset="0"/>
                    <a:cs typeface="Times New Roman" panose="02020603050405020304" pitchFamily="18" charset="0"/>
                  </a:defRPr>
                </a:pPr>
                <a:r>
                  <a:rPr lang="en-US" sz="1400">
                    <a:latin typeface="Times New Roman" panose="02020603050405020304" pitchFamily="18" charset="0"/>
                    <a:cs typeface="Times New Roman" panose="02020603050405020304" pitchFamily="18" charset="0"/>
                  </a:rPr>
                  <a:t>Number of Fish</a:t>
                </a:r>
              </a:p>
            </c:rich>
          </c:tx>
          <c:layout>
            <c:manualLayout>
              <c:xMode val="edge"/>
              <c:yMode val="edge"/>
              <c:x val="8.2449941107184919E-3"/>
              <c:y val="0.37651112781401358"/>
            </c:manualLayout>
          </c:layout>
          <c:overlay val="0"/>
        </c:title>
        <c:numFmt formatCode="#,##0" sourceLinked="1"/>
        <c:majorTickMark val="out"/>
        <c:minorTickMark val="none"/>
        <c:tickLblPos val="nextTo"/>
        <c:spPr>
          <a:ln>
            <a:prstDash val="dash"/>
          </a:ln>
        </c:spPr>
        <c:txPr>
          <a:bodyPr/>
          <a:lstStyle/>
          <a:p>
            <a:pPr>
              <a:defRPr sz="1200">
                <a:latin typeface="Times New Roman" panose="02020603050405020304" pitchFamily="18" charset="0"/>
                <a:cs typeface="Times New Roman" panose="02020603050405020304" pitchFamily="18" charset="0"/>
              </a:defRPr>
            </a:pPr>
            <a:endParaRPr lang="en-US"/>
          </a:p>
        </c:txPr>
        <c:crossAx val="351192576"/>
        <c:crosses val="autoZero"/>
        <c:crossBetween val="between"/>
      </c:valAx>
      <c:spPr>
        <a:ln>
          <a:prstDash val="solid"/>
        </a:ln>
      </c:spPr>
    </c:plotArea>
    <c:plotVisOnly val="1"/>
    <c:dispBlanksAs val="gap"/>
    <c:showDLblsOverMax val="0"/>
  </c:chart>
  <c:printSettings>
    <c:headerFooter/>
    <c:pageMargins b="0.75" l="0.7" r="0.7" t="0.75" header="0.3" footer="0.3"/>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50" b="1" i="0" u="none" strike="noStrike" baseline="0">
                <a:solidFill>
                  <a:srgbClr val="000000"/>
                </a:solidFill>
                <a:latin typeface="Times New Roman"/>
                <a:ea typeface="Times New Roman"/>
                <a:cs typeface="Times New Roman"/>
              </a:defRPr>
            </a:pPr>
            <a:r>
              <a:rPr lang="en-US"/>
              <a:t>Copper River Sockeye Salmon Forecast  
Total Run</a:t>
            </a:r>
          </a:p>
        </c:rich>
      </c:tx>
      <c:layout>
        <c:manualLayout>
          <c:xMode val="edge"/>
          <c:yMode val="edge"/>
          <c:x val="0.33105123707877748"/>
          <c:y val="2.6672877157961284E-2"/>
        </c:manualLayout>
      </c:layout>
      <c:overlay val="0"/>
      <c:spPr>
        <a:noFill/>
        <a:ln w="25400">
          <a:noFill/>
        </a:ln>
      </c:spPr>
    </c:title>
    <c:autoTitleDeleted val="0"/>
    <c:plotArea>
      <c:layout>
        <c:manualLayout>
          <c:layoutTarget val="inner"/>
          <c:xMode val="edge"/>
          <c:yMode val="edge"/>
          <c:x val="0.10903358767199522"/>
          <c:y val="0.14599923090474407"/>
          <c:w val="0.88016968598987222"/>
          <c:h val="0.71174625066062558"/>
        </c:manualLayout>
      </c:layout>
      <c:barChart>
        <c:barDir val="col"/>
        <c:grouping val="clustered"/>
        <c:varyColors val="0"/>
        <c:ser>
          <c:idx val="0"/>
          <c:order val="0"/>
          <c:spPr>
            <a:solidFill>
              <a:srgbClr val="9999FF"/>
            </a:solidFill>
            <a:ln w="12700">
              <a:solidFill>
                <a:srgbClr val="000000"/>
              </a:solidFill>
              <a:prstDash val="solid"/>
            </a:ln>
          </c:spPr>
          <c:invertIfNegative val="0"/>
          <c:dLbls>
            <c:spPr>
              <a:noFill/>
              <a:ln w="25400">
                <a:noFill/>
              </a:ln>
            </c:spPr>
            <c:txPr>
              <a:bodyPr/>
              <a:lstStyle/>
              <a:p>
                <a:pPr>
                  <a:defRPr sz="1425"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dLbls>
          <c:cat>
            <c:numRef>
              <c:f>Performance!$B$64:$B$95</c:f>
              <c:numCache>
                <c:formatCode>General</c:formatCode>
                <c:ptCount val="32"/>
                <c:pt idx="0">
                  <c:v>1983</c:v>
                </c:pt>
                <c:pt idx="1">
                  <c:v>1984</c:v>
                </c:pt>
                <c:pt idx="2">
                  <c:v>1985</c:v>
                </c:pt>
                <c:pt idx="3">
                  <c:v>1986</c:v>
                </c:pt>
                <c:pt idx="4">
                  <c:v>1987</c:v>
                </c:pt>
                <c:pt idx="5">
                  <c:v>1988</c:v>
                </c:pt>
                <c:pt idx="6">
                  <c:v>1989</c:v>
                </c:pt>
                <c:pt idx="7">
                  <c:v>1990</c:v>
                </c:pt>
                <c:pt idx="8">
                  <c:v>1991</c:v>
                </c:pt>
                <c:pt idx="9">
                  <c:v>1992</c:v>
                </c:pt>
                <c:pt idx="10">
                  <c:v>1993</c:v>
                </c:pt>
                <c:pt idx="11">
                  <c:v>1994</c:v>
                </c:pt>
                <c:pt idx="12">
                  <c:v>1995</c:v>
                </c:pt>
                <c:pt idx="13">
                  <c:v>1996</c:v>
                </c:pt>
                <c:pt idx="14">
                  <c:v>1997</c:v>
                </c:pt>
                <c:pt idx="15">
                  <c:v>1998</c:v>
                </c:pt>
                <c:pt idx="16">
                  <c:v>1999</c:v>
                </c:pt>
                <c:pt idx="17">
                  <c:v>2000</c:v>
                </c:pt>
                <c:pt idx="18">
                  <c:v>2001</c:v>
                </c:pt>
                <c:pt idx="19">
                  <c:v>2002</c:v>
                </c:pt>
                <c:pt idx="20">
                  <c:v>2003</c:v>
                </c:pt>
                <c:pt idx="21">
                  <c:v>2004</c:v>
                </c:pt>
                <c:pt idx="22">
                  <c:v>2005</c:v>
                </c:pt>
                <c:pt idx="23">
                  <c:v>2006</c:v>
                </c:pt>
                <c:pt idx="24">
                  <c:v>2007</c:v>
                </c:pt>
                <c:pt idx="25">
                  <c:v>2008</c:v>
                </c:pt>
                <c:pt idx="26">
                  <c:v>2009</c:v>
                </c:pt>
                <c:pt idx="27">
                  <c:v>2010</c:v>
                </c:pt>
                <c:pt idx="28">
                  <c:v>2011</c:v>
                </c:pt>
                <c:pt idx="29">
                  <c:v>2012</c:v>
                </c:pt>
                <c:pt idx="30">
                  <c:v>2013</c:v>
                </c:pt>
                <c:pt idx="31">
                  <c:v>2014</c:v>
                </c:pt>
              </c:numCache>
            </c:numRef>
          </c:cat>
          <c:val>
            <c:numRef>
              <c:f>Performance!$F$64:$F$95</c:f>
              <c:numCache>
                <c:formatCode>0.0</c:formatCode>
                <c:ptCount val="32"/>
                <c:pt idx="0">
                  <c:v>-32.702910840859694</c:v>
                </c:pt>
                <c:pt idx="1">
                  <c:v>-38.807796930665475</c:v>
                </c:pt>
                <c:pt idx="2">
                  <c:v>6.9871198658451679</c:v>
                </c:pt>
                <c:pt idx="3">
                  <c:v>12.360684559015221</c:v>
                </c:pt>
                <c:pt idx="4">
                  <c:v>-7.7290547940615522</c:v>
                </c:pt>
                <c:pt idx="5">
                  <c:v>17.072758990506493</c:v>
                </c:pt>
                <c:pt idx="6">
                  <c:v>-0.65675273206094475</c:v>
                </c:pt>
                <c:pt idx="7">
                  <c:v>-13.447531563312202</c:v>
                </c:pt>
                <c:pt idx="8">
                  <c:v>-18.409053674865895</c:v>
                </c:pt>
                <c:pt idx="9">
                  <c:v>3.1434779096391932</c:v>
                </c:pt>
                <c:pt idx="10">
                  <c:v>-29.437645865027847</c:v>
                </c:pt>
                <c:pt idx="11">
                  <c:v>-33.048351976759882</c:v>
                </c:pt>
                <c:pt idx="12">
                  <c:v>-17.805957384265035</c:v>
                </c:pt>
                <c:pt idx="13">
                  <c:v>-38.650624915374756</c:v>
                </c:pt>
                <c:pt idx="14">
                  <c:v>-47.12732267693702</c:v>
                </c:pt>
                <c:pt idx="15">
                  <c:v>17.093126524397636</c:v>
                </c:pt>
                <c:pt idx="16">
                  <c:v>-17.492019636871291</c:v>
                </c:pt>
                <c:pt idx="17">
                  <c:v>24.691986414103454</c:v>
                </c:pt>
                <c:pt idx="18">
                  <c:v>-36.635028816567221</c:v>
                </c:pt>
                <c:pt idx="19">
                  <c:v>-26.592753500350398</c:v>
                </c:pt>
                <c:pt idx="20">
                  <c:v>-1.4773927684611798</c:v>
                </c:pt>
                <c:pt idx="21">
                  <c:v>-10.487447623764403</c:v>
                </c:pt>
                <c:pt idx="22">
                  <c:v>-5.5046729565110351</c:v>
                </c:pt>
                <c:pt idx="23">
                  <c:v>-27.998433541937445</c:v>
                </c:pt>
                <c:pt idx="24">
                  <c:v>-33.979120680076349</c:v>
                </c:pt>
                <c:pt idx="25">
                  <c:v>37.791378276268148</c:v>
                </c:pt>
                <c:pt idx="26">
                  <c:v>-22.799978586101258</c:v>
                </c:pt>
                <c:pt idx="27">
                  <c:v>26.364127861469239</c:v>
                </c:pt>
                <c:pt idx="28">
                  <c:v>-35.349490237181399</c:v>
                </c:pt>
                <c:pt idx="29">
                  <c:v>-34.510261974338654</c:v>
                </c:pt>
                <c:pt idx="30">
                  <c:v>-25.51389067396163</c:v>
                </c:pt>
                <c:pt idx="31">
                  <c:v>-21.69028703116739</c:v>
                </c:pt>
              </c:numCache>
            </c:numRef>
          </c:val>
        </c:ser>
        <c:dLbls>
          <c:showLegendKey val="0"/>
          <c:showVal val="1"/>
          <c:showCatName val="0"/>
          <c:showSerName val="0"/>
          <c:showPercent val="0"/>
          <c:showBubbleSize val="0"/>
        </c:dLbls>
        <c:gapWidth val="150"/>
        <c:axId val="348790784"/>
        <c:axId val="348792704"/>
      </c:barChart>
      <c:catAx>
        <c:axId val="348790784"/>
        <c:scaling>
          <c:orientation val="minMax"/>
        </c:scaling>
        <c:delete val="0"/>
        <c:axPos val="b"/>
        <c:title>
          <c:tx>
            <c:rich>
              <a:bodyPr/>
              <a:lstStyle/>
              <a:p>
                <a:pPr>
                  <a:defRPr sz="1400" b="1" i="0" u="none" strike="noStrike" baseline="0">
                    <a:solidFill>
                      <a:srgbClr val="000000"/>
                    </a:solidFill>
                    <a:latin typeface="Times New Roman"/>
                    <a:ea typeface="Times New Roman"/>
                    <a:cs typeface="Times New Roman"/>
                  </a:defRPr>
                </a:pPr>
                <a:r>
                  <a:rPr lang="en-US"/>
                  <a:t>Run Year</a:t>
                </a:r>
              </a:p>
            </c:rich>
          </c:tx>
          <c:layout>
            <c:manualLayout>
              <c:xMode val="edge"/>
              <c:yMode val="edge"/>
              <c:x val="0.51593428783487372"/>
              <c:y val="0.93355277069239551"/>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5400000" vert="horz"/>
          <a:lstStyle/>
          <a:p>
            <a:pPr>
              <a:defRPr sz="1425" b="0" i="0" u="none" strike="noStrike" baseline="0">
                <a:solidFill>
                  <a:srgbClr val="000000"/>
                </a:solidFill>
                <a:latin typeface="Times New Roman"/>
                <a:ea typeface="Times New Roman"/>
                <a:cs typeface="Times New Roman"/>
              </a:defRPr>
            </a:pPr>
            <a:endParaRPr lang="en-US"/>
          </a:p>
        </c:txPr>
        <c:crossAx val="348792704"/>
        <c:crosses val="autoZero"/>
        <c:auto val="1"/>
        <c:lblAlgn val="ctr"/>
        <c:lblOffset val="100"/>
        <c:tickLblSkip val="1"/>
        <c:tickMarkSkip val="1"/>
        <c:noMultiLvlLbl val="0"/>
      </c:catAx>
      <c:valAx>
        <c:axId val="348792704"/>
        <c:scaling>
          <c:orientation val="minMax"/>
          <c:max val="40"/>
          <c:min val="-60"/>
        </c:scaling>
        <c:delete val="0"/>
        <c:axPos val="l"/>
        <c:title>
          <c:tx>
            <c:rich>
              <a:bodyPr/>
              <a:lstStyle/>
              <a:p>
                <a:pPr>
                  <a:defRPr sz="1775" b="1" i="0" u="none" strike="noStrike" baseline="0">
                    <a:solidFill>
                      <a:srgbClr val="000000"/>
                    </a:solidFill>
                    <a:latin typeface="Times New Roman"/>
                    <a:ea typeface="Times New Roman"/>
                    <a:cs typeface="Times New Roman"/>
                  </a:defRPr>
                </a:pPr>
                <a:r>
                  <a:rPr lang="en-US"/>
                  <a:t>Percentage
difference from Actual</a:t>
                </a:r>
              </a:p>
            </c:rich>
          </c:tx>
          <c:layout>
            <c:manualLayout>
              <c:xMode val="edge"/>
              <c:yMode val="edge"/>
              <c:x val="9.4811608264606748E-3"/>
              <c:y val="0.33551750397398006"/>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425" b="0" i="0" u="none" strike="noStrike" baseline="0">
                <a:solidFill>
                  <a:srgbClr val="000000"/>
                </a:solidFill>
                <a:latin typeface="Times New Roman"/>
                <a:ea typeface="Times New Roman"/>
                <a:cs typeface="Times New Roman"/>
              </a:defRPr>
            </a:pPr>
            <a:endParaRPr lang="en-US"/>
          </a:p>
        </c:txPr>
        <c:crossAx val="348790784"/>
        <c:crosses val="autoZero"/>
        <c:crossBetween val="between"/>
        <c:majorUnit val="15"/>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45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orientation="landscape" horizontalDpi="300" verticalDpi="300"/>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50" b="1" i="0" u="none" strike="noStrike" baseline="0">
                <a:solidFill>
                  <a:srgbClr val="000000"/>
                </a:solidFill>
                <a:latin typeface="Times New Roman"/>
                <a:ea typeface="Times New Roman"/>
                <a:cs typeface="Times New Roman"/>
              </a:defRPr>
            </a:pPr>
            <a:r>
              <a:rPr lang="en-US"/>
              <a:t>Copper River Sockeye Salmon Forecast  
Commercial Harvest</a:t>
            </a:r>
          </a:p>
        </c:rich>
      </c:tx>
      <c:layout>
        <c:manualLayout>
          <c:xMode val="edge"/>
          <c:yMode val="edge"/>
          <c:x val="0.33140470700831304"/>
          <c:y val="2.6672868423093E-2"/>
        </c:manualLayout>
      </c:layout>
      <c:overlay val="0"/>
      <c:spPr>
        <a:noFill/>
        <a:ln w="25400">
          <a:noFill/>
        </a:ln>
      </c:spPr>
    </c:title>
    <c:autoTitleDeleted val="0"/>
    <c:plotArea>
      <c:layout>
        <c:manualLayout>
          <c:layoutTarget val="inner"/>
          <c:xMode val="edge"/>
          <c:yMode val="edge"/>
          <c:x val="0.11520259896274201"/>
          <c:y val="0.12634548828295145"/>
          <c:w val="0.87348819898462549"/>
          <c:h val="0.72999615452371824"/>
        </c:manualLayout>
      </c:layout>
      <c:barChart>
        <c:barDir val="col"/>
        <c:grouping val="clustered"/>
        <c:varyColors val="0"/>
        <c:ser>
          <c:idx val="0"/>
          <c:order val="0"/>
          <c:spPr>
            <a:solidFill>
              <a:srgbClr val="9999FF"/>
            </a:solidFill>
            <a:ln w="12700">
              <a:solidFill>
                <a:srgbClr val="000000"/>
              </a:solidFill>
              <a:prstDash val="solid"/>
            </a:ln>
          </c:spPr>
          <c:invertIfNegative val="0"/>
          <c:dLbls>
            <c:spPr>
              <a:noFill/>
              <a:ln w="25400">
                <a:noFill/>
              </a:ln>
            </c:spPr>
            <c:txPr>
              <a:bodyPr/>
              <a:lstStyle/>
              <a:p>
                <a:pPr>
                  <a:defRPr sz="1475"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dLbls>
          <c:cat>
            <c:numRef>
              <c:f>Performance!$B$108:$B$137</c:f>
              <c:numCache>
                <c:formatCode>General</c:formatCode>
                <c:ptCount val="30"/>
                <c:pt idx="0">
                  <c:v>1983</c:v>
                </c:pt>
                <c:pt idx="1">
                  <c:v>1984</c:v>
                </c:pt>
                <c:pt idx="2">
                  <c:v>1985</c:v>
                </c:pt>
                <c:pt idx="3">
                  <c:v>1986</c:v>
                </c:pt>
                <c:pt idx="4">
                  <c:v>1987</c:v>
                </c:pt>
                <c:pt idx="5">
                  <c:v>1988</c:v>
                </c:pt>
                <c:pt idx="6">
                  <c:v>1989</c:v>
                </c:pt>
                <c:pt idx="7">
                  <c:v>1990</c:v>
                </c:pt>
                <c:pt idx="8">
                  <c:v>1991</c:v>
                </c:pt>
                <c:pt idx="9">
                  <c:v>1992</c:v>
                </c:pt>
                <c:pt idx="10">
                  <c:v>1993</c:v>
                </c:pt>
                <c:pt idx="11">
                  <c:v>1994</c:v>
                </c:pt>
                <c:pt idx="12">
                  <c:v>1995</c:v>
                </c:pt>
                <c:pt idx="13">
                  <c:v>1996</c:v>
                </c:pt>
                <c:pt idx="14">
                  <c:v>1997</c:v>
                </c:pt>
                <c:pt idx="15">
                  <c:v>1998</c:v>
                </c:pt>
                <c:pt idx="16">
                  <c:v>1999</c:v>
                </c:pt>
                <c:pt idx="17">
                  <c:v>2000</c:v>
                </c:pt>
                <c:pt idx="18">
                  <c:v>2001</c:v>
                </c:pt>
                <c:pt idx="19">
                  <c:v>2002</c:v>
                </c:pt>
                <c:pt idx="20">
                  <c:v>2003</c:v>
                </c:pt>
                <c:pt idx="21">
                  <c:v>2004</c:v>
                </c:pt>
                <c:pt idx="22">
                  <c:v>2005</c:v>
                </c:pt>
                <c:pt idx="23">
                  <c:v>2006</c:v>
                </c:pt>
                <c:pt idx="24">
                  <c:v>2007</c:v>
                </c:pt>
                <c:pt idx="25">
                  <c:v>2008</c:v>
                </c:pt>
                <c:pt idx="26">
                  <c:v>2009</c:v>
                </c:pt>
                <c:pt idx="27">
                  <c:v>2010</c:v>
                </c:pt>
                <c:pt idx="28">
                  <c:v>2011</c:v>
                </c:pt>
                <c:pt idx="29">
                  <c:v>2012</c:v>
                </c:pt>
              </c:numCache>
            </c:numRef>
          </c:cat>
          <c:val>
            <c:numRef>
              <c:f>Performance!$F$108:$F$137</c:f>
              <c:numCache>
                <c:formatCode>0.0</c:formatCode>
                <c:ptCount val="30"/>
                <c:pt idx="0">
                  <c:v>7.2223507543060466</c:v>
                </c:pt>
                <c:pt idx="1">
                  <c:v>-22.11483229134608</c:v>
                </c:pt>
                <c:pt idx="2">
                  <c:v>29.343377565175587</c:v>
                </c:pt>
                <c:pt idx="3">
                  <c:v>9.4212461721783036</c:v>
                </c:pt>
                <c:pt idx="4">
                  <c:v>-20.648900601950494</c:v>
                </c:pt>
                <c:pt idx="5">
                  <c:v>21.447109004410901</c:v>
                </c:pt>
                <c:pt idx="6">
                  <c:v>-5.2698979507306012</c:v>
                </c:pt>
                <c:pt idx="7">
                  <c:v>-22.174938437774252</c:v>
                </c:pt>
                <c:pt idx="8">
                  <c:v>-28.00593847448809</c:v>
                </c:pt>
                <c:pt idx="9">
                  <c:v>-1.1286779359375627</c:v>
                </c:pt>
                <c:pt idx="10">
                  <c:v>-34.211279047150491</c:v>
                </c:pt>
                <c:pt idx="11">
                  <c:v>-40.647213971559189</c:v>
                </c:pt>
                <c:pt idx="12">
                  <c:v>-16.576376253909743</c:v>
                </c:pt>
                <c:pt idx="13">
                  <c:v>-45.778071939515819</c:v>
                </c:pt>
                <c:pt idx="14">
                  <c:v>-47.092202324289616</c:v>
                </c:pt>
                <c:pt idx="15">
                  <c:v>47.834609658626981</c:v>
                </c:pt>
                <c:pt idx="16">
                  <c:v>-25.869564830623816</c:v>
                </c:pt>
                <c:pt idx="17">
                  <c:v>25.328419517337181</c:v>
                </c:pt>
                <c:pt idx="18">
                  <c:v>-51.487661121557402</c:v>
                </c:pt>
                <c:pt idx="19">
                  <c:v>-35.775559155363936</c:v>
                </c:pt>
                <c:pt idx="20">
                  <c:v>-2.9859029673476414</c:v>
                </c:pt>
                <c:pt idx="21">
                  <c:v>-15.664880922640428</c:v>
                </c:pt>
                <c:pt idx="22">
                  <c:v>1.0520409159512345</c:v>
                </c:pt>
                <c:pt idx="23">
                  <c:v>-32.853430273751364</c:v>
                </c:pt>
                <c:pt idx="24">
                  <c:v>-39.322341290636913</c:v>
                </c:pt>
                <c:pt idx="25">
                  <c:v>128.19306595825802</c:v>
                </c:pt>
                <c:pt idx="26">
                  <c:v>-43.974596810301762</c:v>
                </c:pt>
                <c:pt idx="27">
                  <c:v>95.23773150475246</c:v>
                </c:pt>
                <c:pt idx="28">
                  <c:v>-42.999332576008634</c:v>
                </c:pt>
                <c:pt idx="29">
                  <c:v>-34.413079599093081</c:v>
                </c:pt>
              </c:numCache>
            </c:numRef>
          </c:val>
        </c:ser>
        <c:dLbls>
          <c:showLegendKey val="0"/>
          <c:showVal val="1"/>
          <c:showCatName val="0"/>
          <c:showSerName val="0"/>
          <c:showPercent val="0"/>
          <c:showBubbleSize val="0"/>
        </c:dLbls>
        <c:gapWidth val="150"/>
        <c:axId val="347561344"/>
        <c:axId val="348831104"/>
      </c:barChart>
      <c:catAx>
        <c:axId val="347561344"/>
        <c:scaling>
          <c:orientation val="minMax"/>
        </c:scaling>
        <c:delete val="0"/>
        <c:axPos val="b"/>
        <c:title>
          <c:tx>
            <c:rich>
              <a:bodyPr/>
              <a:lstStyle/>
              <a:p>
                <a:pPr>
                  <a:defRPr sz="1375" b="1" i="0" u="none" strike="noStrike" baseline="0">
                    <a:solidFill>
                      <a:srgbClr val="000000"/>
                    </a:solidFill>
                    <a:latin typeface="Times New Roman"/>
                    <a:ea typeface="Times New Roman"/>
                    <a:cs typeface="Times New Roman"/>
                  </a:defRPr>
                </a:pPr>
                <a:r>
                  <a:rPr lang="en-US"/>
                  <a:t>Run Year</a:t>
                </a:r>
              </a:p>
            </c:rich>
          </c:tx>
          <c:layout>
            <c:manualLayout>
              <c:xMode val="edge"/>
              <c:yMode val="edge"/>
              <c:x val="0.51998980790384663"/>
              <c:y val="0.93776434063885472"/>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5400000" vert="horz"/>
          <a:lstStyle/>
          <a:p>
            <a:pPr>
              <a:defRPr sz="1475" b="0" i="0" u="none" strike="noStrike" baseline="0">
                <a:solidFill>
                  <a:srgbClr val="000000"/>
                </a:solidFill>
                <a:latin typeface="Times New Roman"/>
                <a:ea typeface="Times New Roman"/>
                <a:cs typeface="Times New Roman"/>
              </a:defRPr>
            </a:pPr>
            <a:endParaRPr lang="en-US"/>
          </a:p>
        </c:txPr>
        <c:crossAx val="348831104"/>
        <c:crosses val="autoZero"/>
        <c:auto val="1"/>
        <c:lblAlgn val="ctr"/>
        <c:lblOffset val="100"/>
        <c:tickLblSkip val="1"/>
        <c:tickMarkSkip val="1"/>
        <c:noMultiLvlLbl val="0"/>
      </c:catAx>
      <c:valAx>
        <c:axId val="348831104"/>
        <c:scaling>
          <c:orientation val="minMax"/>
          <c:min val="-60"/>
        </c:scaling>
        <c:delete val="0"/>
        <c:axPos val="l"/>
        <c:title>
          <c:tx>
            <c:rich>
              <a:bodyPr/>
              <a:lstStyle/>
              <a:p>
                <a:pPr>
                  <a:defRPr sz="1850" b="1" i="0" u="none" strike="noStrike" baseline="0">
                    <a:solidFill>
                      <a:srgbClr val="000000"/>
                    </a:solidFill>
                    <a:latin typeface="Times New Roman"/>
                    <a:ea typeface="Times New Roman"/>
                    <a:cs typeface="Times New Roman"/>
                  </a:defRPr>
                </a:pPr>
                <a:r>
                  <a:rPr lang="en-US"/>
                  <a:t>Percentage 
difference from Actual</a:t>
                </a:r>
              </a:p>
            </c:rich>
          </c:tx>
          <c:layout>
            <c:manualLayout>
              <c:xMode val="edge"/>
              <c:yMode val="edge"/>
              <c:x val="8.6796885195981697E-3"/>
              <c:y val="0.31726753565087312"/>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475" b="0" i="0" u="none" strike="noStrike" baseline="0">
                <a:solidFill>
                  <a:srgbClr val="000000"/>
                </a:solidFill>
                <a:latin typeface="Times New Roman"/>
                <a:ea typeface="Times New Roman"/>
                <a:cs typeface="Times New Roman"/>
              </a:defRPr>
            </a:pPr>
            <a:endParaRPr lang="en-US"/>
          </a:p>
        </c:txPr>
        <c:crossAx val="347561344"/>
        <c:crosses val="autoZero"/>
        <c:crossBetween val="between"/>
        <c:majorUnit val="15"/>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45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14983713355049"/>
          <c:y val="0.10077557524669768"/>
          <c:w val="0.82084690553745931"/>
          <c:h val="0.72480894504354865"/>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numFmt formatCode="General" sourceLinked="0"/>
              <c:spPr>
                <a:noFill/>
                <a:ln w="25400">
                  <a:noFill/>
                </a:ln>
              </c:spPr>
              <c:txPr>
                <a:bodyPr/>
                <a:lstStyle/>
                <a:p>
                  <a:pPr>
                    <a:defRPr sz="1000" b="0" i="0" u="none" strike="noStrike" baseline="0">
                      <a:solidFill>
                        <a:srgbClr val="000000"/>
                      </a:solidFill>
                      <a:latin typeface="Times New Roman"/>
                      <a:ea typeface="Times New Roman"/>
                      <a:cs typeface="Times New Roman"/>
                    </a:defRPr>
                  </a:pPr>
                  <a:endParaRPr lang="en-US"/>
                </a:p>
              </c:txPr>
            </c:trendlineLbl>
          </c:trendline>
          <c:xVal>
            <c:numRef>
              <c:f>'Age1.2'!$B$6:$B$28</c:f>
              <c:numCache>
                <c:formatCode>#,##0</c:formatCode>
                <c:ptCount val="23"/>
                <c:pt idx="0">
                  <c:v>36816.902552422027</c:v>
                </c:pt>
                <c:pt idx="1">
                  <c:v>8416.2126489745042</c:v>
                </c:pt>
                <c:pt idx="2">
                  <c:v>78805.382876538672</c:v>
                </c:pt>
                <c:pt idx="3">
                  <c:v>18489.281874539654</c:v>
                </c:pt>
                <c:pt idx="4">
                  <c:v>25771.508177901509</c:v>
                </c:pt>
                <c:pt idx="5">
                  <c:v>56401.76109070603</c:v>
                </c:pt>
                <c:pt idx="6">
                  <c:v>58109.358039408347</c:v>
                </c:pt>
                <c:pt idx="7">
                  <c:v>32579.47741440657</c:v>
                </c:pt>
                <c:pt idx="8">
                  <c:v>16460.431926757403</c:v>
                </c:pt>
                <c:pt idx="9">
                  <c:v>147971.67340866121</c:v>
                </c:pt>
                <c:pt idx="10">
                  <c:v>29946.499677603377</c:v>
                </c:pt>
                <c:pt idx="11">
                  <c:v>12697.780914796174</c:v>
                </c:pt>
                <c:pt idx="12">
                  <c:v>8279.8174606620651</c:v>
                </c:pt>
                <c:pt idx="13">
                  <c:v>14648.877824859073</c:v>
                </c:pt>
                <c:pt idx="14">
                  <c:v>7580.2162664815642</c:v>
                </c:pt>
                <c:pt idx="15">
                  <c:v>15743.896445334503</c:v>
                </c:pt>
                <c:pt idx="16">
                  <c:v>6843.0382800759517</c:v>
                </c:pt>
                <c:pt idx="17">
                  <c:v>6090.5428281522218</c:v>
                </c:pt>
                <c:pt idx="18">
                  <c:v>5212.4666426457889</c:v>
                </c:pt>
                <c:pt idx="19">
                  <c:v>24293.51932402937</c:v>
                </c:pt>
                <c:pt idx="20">
                  <c:v>2664.0438512035921</c:v>
                </c:pt>
                <c:pt idx="21">
                  <c:v>1650.0452612052413</c:v>
                </c:pt>
                <c:pt idx="22">
                  <c:v>7122.8852841586249</c:v>
                </c:pt>
              </c:numCache>
            </c:numRef>
          </c:xVal>
          <c:yVal>
            <c:numRef>
              <c:f>'Age1.2'!$C$6:$C$28</c:f>
              <c:numCache>
                <c:formatCode>#,##0</c:formatCode>
                <c:ptCount val="23"/>
                <c:pt idx="0">
                  <c:v>641426.45512191299</c:v>
                </c:pt>
                <c:pt idx="1">
                  <c:v>1292395.1381037389</c:v>
                </c:pt>
                <c:pt idx="2">
                  <c:v>1075295.1477904324</c:v>
                </c:pt>
                <c:pt idx="3">
                  <c:v>1329979.1552080857</c:v>
                </c:pt>
                <c:pt idx="4">
                  <c:v>1332570.2372110838</c:v>
                </c:pt>
                <c:pt idx="5">
                  <c:v>1060308.8407004261</c:v>
                </c:pt>
                <c:pt idx="6">
                  <c:v>1989184.4640360922</c:v>
                </c:pt>
                <c:pt idx="7">
                  <c:v>2415249.6642813412</c:v>
                </c:pt>
                <c:pt idx="8">
                  <c:v>1112912.7648551823</c:v>
                </c:pt>
                <c:pt idx="9">
                  <c:v>1216630.2738301605</c:v>
                </c:pt>
                <c:pt idx="10">
                  <c:v>929769.82433363562</c:v>
                </c:pt>
                <c:pt idx="11">
                  <c:v>1671044.5816115239</c:v>
                </c:pt>
                <c:pt idx="12">
                  <c:v>1250886.8726059287</c:v>
                </c:pt>
                <c:pt idx="13">
                  <c:v>1379966.5856725546</c:v>
                </c:pt>
                <c:pt idx="14">
                  <c:v>996194.75347909459</c:v>
                </c:pt>
                <c:pt idx="15">
                  <c:v>1434375.124038063</c:v>
                </c:pt>
                <c:pt idx="16">
                  <c:v>1472393.5551385009</c:v>
                </c:pt>
                <c:pt idx="17">
                  <c:v>2281728.634522045</c:v>
                </c:pt>
                <c:pt idx="18">
                  <c:v>796157.21431067027</c:v>
                </c:pt>
                <c:pt idx="19">
                  <c:v>940457.62252988853</c:v>
                </c:pt>
                <c:pt idx="20">
                  <c:v>730494.56928830943</c:v>
                </c:pt>
                <c:pt idx="21">
                  <c:v>1832418.5211423838</c:v>
                </c:pt>
                <c:pt idx="22">
                  <c:v>2079282.070390793</c:v>
                </c:pt>
              </c:numCache>
            </c:numRef>
          </c:yVal>
          <c:smooth val="0"/>
        </c:ser>
        <c:dLbls>
          <c:showLegendKey val="0"/>
          <c:showVal val="0"/>
          <c:showCatName val="0"/>
          <c:showSerName val="0"/>
          <c:showPercent val="0"/>
          <c:showBubbleSize val="0"/>
        </c:dLbls>
        <c:axId val="351333760"/>
        <c:axId val="351332224"/>
      </c:scatterChart>
      <c:valAx>
        <c:axId val="351333760"/>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351332224"/>
        <c:crosses val="autoZero"/>
        <c:crossBetween val="midCat"/>
      </c:valAx>
      <c:valAx>
        <c:axId val="351332224"/>
        <c:scaling>
          <c:orientation val="minMax"/>
        </c:scaling>
        <c:delete val="0"/>
        <c:axPos val="l"/>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351333760"/>
        <c:crosses val="autoZero"/>
        <c:crossBetween val="midCat"/>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8048904422167859E-2"/>
          <c:y val="0.10038628963993432"/>
          <c:w val="0.87967619359152238"/>
          <c:h val="0.72587009431953309"/>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0.13686448036578641"/>
                  <c:y val="-0.24820770049583674"/>
                </c:manualLayout>
              </c:layout>
              <c:numFmt formatCode="General" sourceLinked="0"/>
              <c:spPr>
                <a:noFill/>
                <a:ln w="25400">
                  <a:noFill/>
                </a:ln>
              </c:spPr>
              <c:txPr>
                <a:bodyPr/>
                <a:lstStyle/>
                <a:p>
                  <a:pPr>
                    <a:defRPr sz="1000" b="0" i="0" u="none" strike="noStrike" baseline="0">
                      <a:solidFill>
                        <a:srgbClr val="000000"/>
                      </a:solidFill>
                      <a:latin typeface="Times New Roman"/>
                      <a:ea typeface="Times New Roman"/>
                      <a:cs typeface="Times New Roman"/>
                    </a:defRPr>
                  </a:pPr>
                  <a:endParaRPr lang="en-US"/>
                </a:p>
              </c:txPr>
            </c:trendlineLbl>
          </c:trendline>
          <c:xVal>
            <c:numRef>
              <c:f>'Age1.2'!$D$6:$D$28</c:f>
              <c:numCache>
                <c:formatCode>General</c:formatCode>
                <c:ptCount val="23"/>
                <c:pt idx="0">
                  <c:v>10.513712327196895</c:v>
                </c:pt>
                <c:pt idx="1">
                  <c:v>9.0379152018843385</c:v>
                </c:pt>
                <c:pt idx="2">
                  <c:v>11.274736584128879</c:v>
                </c:pt>
                <c:pt idx="3">
                  <c:v>9.8249464850406518</c:v>
                </c:pt>
                <c:pt idx="4">
                  <c:v>10.15702482649354</c:v>
                </c:pt>
                <c:pt idx="5">
                  <c:v>10.940255662011179</c:v>
                </c:pt>
                <c:pt idx="6">
                  <c:v>10.970081997673907</c:v>
                </c:pt>
                <c:pt idx="7">
                  <c:v>10.39143784195393</c:v>
                </c:pt>
                <c:pt idx="8">
                  <c:v>9.7087147148805393</c:v>
                </c:pt>
                <c:pt idx="9">
                  <c:v>11.904776138540297</c:v>
                </c:pt>
                <c:pt idx="10">
                  <c:v>10.307167724513286</c:v>
                </c:pt>
                <c:pt idx="11">
                  <c:v>9.4491825260610103</c:v>
                </c:pt>
                <c:pt idx="12">
                  <c:v>9.0215762013225334</c:v>
                </c:pt>
                <c:pt idx="13">
                  <c:v>9.5921190125256324</c:v>
                </c:pt>
                <c:pt idx="14">
                  <c:v>8.9332970094275055</c:v>
                </c:pt>
                <c:pt idx="15">
                  <c:v>9.6642080418653293</c:v>
                </c:pt>
                <c:pt idx="16">
                  <c:v>8.8309871049856525</c:v>
                </c:pt>
                <c:pt idx="17">
                  <c:v>8.7144924910752639</c:v>
                </c:pt>
                <c:pt idx="18">
                  <c:v>8.5588084665941651</c:v>
                </c:pt>
                <c:pt idx="19">
                  <c:v>10.097964899274954</c:v>
                </c:pt>
                <c:pt idx="20">
                  <c:v>7.8876004921868139</c:v>
                </c:pt>
                <c:pt idx="21">
                  <c:v>7.408557997551882</c:v>
                </c:pt>
                <c:pt idx="22">
                  <c:v>8.8710681588590035</c:v>
                </c:pt>
              </c:numCache>
            </c:numRef>
          </c:xVal>
          <c:yVal>
            <c:numRef>
              <c:f>'Age1.2'!$E$6:$E$28</c:f>
              <c:numCache>
                <c:formatCode>General</c:formatCode>
                <c:ptCount val="23"/>
                <c:pt idx="0">
                  <c:v>13.37144981129318</c:v>
                </c:pt>
                <c:pt idx="1">
                  <c:v>14.072007751012482</c:v>
                </c:pt>
                <c:pt idx="2">
                  <c:v>13.888105737944398</c:v>
                </c:pt>
                <c:pt idx="3">
                  <c:v>14.100673827299241</c:v>
                </c:pt>
                <c:pt idx="4">
                  <c:v>14.102620144485565</c:v>
                </c:pt>
                <c:pt idx="5">
                  <c:v>13.874070782802761</c:v>
                </c:pt>
                <c:pt idx="6">
                  <c:v>14.50323529563542</c:v>
                </c:pt>
                <c:pt idx="7">
                  <c:v>14.697313220380199</c:v>
                </c:pt>
                <c:pt idx="8">
                  <c:v>13.922491248798858</c:v>
                </c:pt>
                <c:pt idx="9">
                  <c:v>14.011595524522779</c:v>
                </c:pt>
                <c:pt idx="10">
                  <c:v>13.74269233377956</c:v>
                </c:pt>
                <c:pt idx="11">
                  <c:v>14.32895948682159</c:v>
                </c:pt>
                <c:pt idx="12">
                  <c:v>14.039363355788447</c:v>
                </c:pt>
                <c:pt idx="13">
                  <c:v>14.137569843559483</c:v>
                </c:pt>
                <c:pt idx="14">
                  <c:v>13.811698053073718</c:v>
                </c:pt>
                <c:pt idx="15">
                  <c:v>14.176239858706381</c:v>
                </c:pt>
                <c:pt idx="16">
                  <c:v>14.202399903364208</c:v>
                </c:pt>
                <c:pt idx="17">
                  <c:v>14.640443886698622</c:v>
                </c:pt>
                <c:pt idx="18">
                  <c:v>13.587551950740307</c:v>
                </c:pt>
                <c:pt idx="19">
                  <c:v>13.754121868260308</c:v>
                </c:pt>
                <c:pt idx="20">
                  <c:v>13.501477075906118</c:v>
                </c:pt>
                <c:pt idx="21">
                  <c:v>14.421147248530623</c:v>
                </c:pt>
                <c:pt idx="22">
                  <c:v>14.547533233630642</c:v>
                </c:pt>
              </c:numCache>
            </c:numRef>
          </c:yVal>
          <c:smooth val="0"/>
        </c:ser>
        <c:dLbls>
          <c:showLegendKey val="0"/>
          <c:showVal val="0"/>
          <c:showCatName val="0"/>
          <c:showSerName val="0"/>
          <c:showPercent val="0"/>
          <c:showBubbleSize val="0"/>
        </c:dLbls>
        <c:axId val="350897280"/>
        <c:axId val="351030656"/>
      </c:scatterChart>
      <c:valAx>
        <c:axId val="350897280"/>
        <c:scaling>
          <c:orientation val="minMax"/>
          <c:min val="8"/>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351030656"/>
        <c:crosses val="autoZero"/>
        <c:crossBetween val="midCat"/>
      </c:valAx>
      <c:valAx>
        <c:axId val="351030656"/>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350897280"/>
        <c:crosses val="autoZero"/>
        <c:crossBetween val="midCat"/>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Times New Roman"/>
                <a:ea typeface="Times New Roman"/>
                <a:cs typeface="Times New Roman"/>
              </a:defRPr>
            </a:pPr>
            <a:r>
              <a:rPr lang="en-US"/>
              <a:t>Copper River sockeye salmon Age 1.2</a:t>
            </a:r>
          </a:p>
        </c:rich>
      </c:tx>
      <c:layout>
        <c:manualLayout>
          <c:xMode val="edge"/>
          <c:yMode val="edge"/>
          <c:x val="0.32284541723666604"/>
          <c:y val="3.937007874015748E-2"/>
        </c:manualLayout>
      </c:layout>
      <c:overlay val="0"/>
      <c:spPr>
        <a:noFill/>
        <a:ln w="25400">
          <a:noFill/>
        </a:ln>
      </c:spPr>
    </c:title>
    <c:autoTitleDeleted val="0"/>
    <c:plotArea>
      <c:layout>
        <c:manualLayout>
          <c:layoutTarget val="inner"/>
          <c:xMode val="edge"/>
          <c:yMode val="edge"/>
          <c:x val="0.17373461012311903"/>
          <c:y val="0.1299212598425197"/>
          <c:w val="0.80711354309164951"/>
          <c:h val="0.67322834645669871"/>
        </c:manualLayout>
      </c:layout>
      <c:barChart>
        <c:barDir val="col"/>
        <c:grouping val="clustered"/>
        <c:varyColors val="0"/>
        <c:ser>
          <c:idx val="0"/>
          <c:order val="0"/>
          <c:spPr>
            <a:ln w="12700">
              <a:solidFill>
                <a:srgbClr val="000080"/>
              </a:solidFill>
              <a:prstDash val="solid"/>
            </a:ln>
          </c:spPr>
          <c:invertIfNegative val="0"/>
          <c:dPt>
            <c:idx val="49"/>
            <c:invertIfNegative val="0"/>
            <c:bubble3D val="0"/>
          </c:dPt>
          <c:dLbls>
            <c:dLbl>
              <c:idx val="0"/>
              <c:layout/>
              <c:tx>
                <c:strRef>
                  <c:f>'Age1.2'!$Q$4</c:f>
                  <c:strCache>
                    <c:ptCount val="1"/>
                    <c:pt idx="0">
                      <c:v>31 </c:v>
                    </c:pt>
                  </c:strCache>
                </c:strRef>
              </c:tx>
              <c:dLblPos val="outEnd"/>
              <c:showLegendKey val="0"/>
              <c:showVal val="1"/>
              <c:showCatName val="0"/>
              <c:showSerName val="0"/>
              <c:showPercent val="0"/>
              <c:showBubbleSize val="0"/>
            </c:dLbl>
            <c:dLbl>
              <c:idx val="1"/>
              <c:delete val="1"/>
            </c:dLbl>
            <c:dLbl>
              <c:idx val="2"/>
              <c:layout/>
              <c:tx>
                <c:strRef>
                  <c:f>'Age1.2'!$Q$6</c:f>
                  <c:strCache>
                    <c:ptCount val="1"/>
                    <c:pt idx="0">
                      <c:v>44 </c:v>
                    </c:pt>
                  </c:strCache>
                </c:strRef>
              </c:tx>
              <c:dLblPos val="outEnd"/>
              <c:showLegendKey val="0"/>
              <c:showVal val="1"/>
              <c:showCatName val="0"/>
              <c:showSerName val="0"/>
              <c:showPercent val="0"/>
              <c:showBubbleSize val="0"/>
            </c:dLbl>
            <c:dLbl>
              <c:idx val="3"/>
              <c:layout/>
              <c:tx>
                <c:strRef>
                  <c:f>'Age1.2'!$Q$7</c:f>
                  <c:strCache>
                    <c:ptCount val="1"/>
                    <c:pt idx="0">
                      <c:v>18 </c:v>
                    </c:pt>
                  </c:strCache>
                </c:strRef>
              </c:tx>
              <c:dLblPos val="outEnd"/>
              <c:showLegendKey val="0"/>
              <c:showVal val="1"/>
              <c:showCatName val="0"/>
              <c:showSerName val="0"/>
              <c:showPercent val="0"/>
              <c:showBubbleSize val="0"/>
            </c:dLbl>
            <c:dLbl>
              <c:idx val="4"/>
              <c:layout/>
              <c:tx>
                <c:strRef>
                  <c:f>'Age1.2'!$Q$8</c:f>
                  <c:strCache>
                    <c:ptCount val="1"/>
                    <c:pt idx="0">
                      <c:v>10 </c:v>
                    </c:pt>
                  </c:strCache>
                </c:strRef>
              </c:tx>
              <c:dLblPos val="outEnd"/>
              <c:showLegendKey val="0"/>
              <c:showVal val="1"/>
              <c:showCatName val="0"/>
              <c:showSerName val="0"/>
              <c:showPercent val="0"/>
              <c:showBubbleSize val="0"/>
            </c:dLbl>
            <c:dLbl>
              <c:idx val="5"/>
              <c:layout/>
              <c:tx>
                <c:strRef>
                  <c:f>'Age1.2'!$Q$9</c:f>
                  <c:strCache>
                    <c:ptCount val="1"/>
                    <c:pt idx="0">
                      <c:v>15 </c:v>
                    </c:pt>
                  </c:strCache>
                </c:strRef>
              </c:tx>
              <c:dLblPos val="outEnd"/>
              <c:showLegendKey val="0"/>
              <c:showVal val="1"/>
              <c:showCatName val="0"/>
              <c:showSerName val="0"/>
              <c:showPercent val="0"/>
              <c:showBubbleSize val="0"/>
            </c:dLbl>
            <c:dLbl>
              <c:idx val="6"/>
              <c:layout/>
              <c:tx>
                <c:strRef>
                  <c:f>'Age1.2'!$Q$10</c:f>
                  <c:strCache>
                    <c:ptCount val="1"/>
                    <c:pt idx="0">
                      <c:v>45 </c:v>
                    </c:pt>
                  </c:strCache>
                </c:strRef>
              </c:tx>
              <c:dLblPos val="outEnd"/>
              <c:showLegendKey val="0"/>
              <c:showVal val="1"/>
              <c:showCatName val="0"/>
              <c:showSerName val="0"/>
              <c:showPercent val="0"/>
              <c:showBubbleSize val="0"/>
            </c:dLbl>
            <c:dLbl>
              <c:idx val="7"/>
              <c:layout/>
              <c:tx>
                <c:strRef>
                  <c:f>'Age1.2'!$Q$11</c:f>
                  <c:strCache>
                    <c:ptCount val="1"/>
                    <c:pt idx="0">
                      <c:v>35 </c:v>
                    </c:pt>
                  </c:strCache>
                </c:strRef>
              </c:tx>
              <c:dLblPos val="outEnd"/>
              <c:showLegendKey val="0"/>
              <c:showVal val="1"/>
              <c:showCatName val="0"/>
              <c:showSerName val="0"/>
              <c:showPercent val="0"/>
              <c:showBubbleSize val="0"/>
            </c:dLbl>
            <c:dLbl>
              <c:idx val="8"/>
              <c:delete val="1"/>
            </c:dLbl>
            <c:dLbl>
              <c:idx val="9"/>
              <c:delete val="1"/>
            </c:dLbl>
            <c:dLbl>
              <c:idx val="10"/>
              <c:layout/>
              <c:tx>
                <c:strRef>
                  <c:f>'Age1.2'!$Q$14</c:f>
                  <c:strCache>
                    <c:ptCount val="1"/>
                    <c:pt idx="0">
                      <c:v>49 </c:v>
                    </c:pt>
                  </c:strCache>
                </c:strRef>
              </c:tx>
              <c:dLblPos val="outEnd"/>
              <c:showLegendKey val="0"/>
              <c:showVal val="1"/>
              <c:showCatName val="0"/>
              <c:showSerName val="0"/>
              <c:showPercent val="0"/>
              <c:showBubbleSize val="0"/>
            </c:dLbl>
            <c:dLbl>
              <c:idx val="11"/>
              <c:layout/>
              <c:tx>
                <c:strRef>
                  <c:f>'Age1.2'!$Q$15</c:f>
                  <c:strCache>
                    <c:ptCount val="1"/>
                    <c:pt idx="0">
                      <c:v>37 </c:v>
                    </c:pt>
                  </c:strCache>
                </c:strRef>
              </c:tx>
              <c:dLblPos val="outEnd"/>
              <c:showLegendKey val="0"/>
              <c:showVal val="1"/>
              <c:showCatName val="0"/>
              <c:showSerName val="0"/>
              <c:showPercent val="0"/>
              <c:showBubbleSize val="0"/>
            </c:dLbl>
            <c:dLbl>
              <c:idx val="12"/>
              <c:layout/>
              <c:tx>
                <c:strRef>
                  <c:f>'Age1.2'!$Q$16</c:f>
                  <c:strCache>
                    <c:ptCount val="1"/>
                    <c:pt idx="0">
                      <c:v>50 </c:v>
                    </c:pt>
                  </c:strCache>
                </c:strRef>
              </c:tx>
              <c:dLblPos val="outEnd"/>
              <c:showLegendKey val="0"/>
              <c:showVal val="1"/>
              <c:showCatName val="0"/>
              <c:showSerName val="0"/>
              <c:showPercent val="0"/>
              <c:showBubbleSize val="0"/>
            </c:dLbl>
            <c:dLbl>
              <c:idx val="13"/>
              <c:layout/>
              <c:tx>
                <c:strRef>
                  <c:f>'Age1.2'!$Q$17</c:f>
                  <c:strCache>
                    <c:ptCount val="1"/>
                    <c:pt idx="0">
                      <c:v>34 </c:v>
                    </c:pt>
                  </c:strCache>
                </c:strRef>
              </c:tx>
              <c:dLblPos val="outEnd"/>
              <c:showLegendKey val="0"/>
              <c:showVal val="1"/>
              <c:showCatName val="0"/>
              <c:showSerName val="0"/>
              <c:showPercent val="0"/>
              <c:showBubbleSize val="0"/>
            </c:dLbl>
            <c:dLbl>
              <c:idx val="14"/>
              <c:delete val="1"/>
            </c:dLbl>
            <c:dLbl>
              <c:idx val="15"/>
              <c:layout/>
              <c:tx>
                <c:strRef>
                  <c:f>'Age1.2'!$Q$19</c:f>
                  <c:strCache>
                    <c:ptCount val="1"/>
                    <c:pt idx="0">
                      <c:v>32 </c:v>
                    </c:pt>
                  </c:strCache>
                </c:strRef>
              </c:tx>
              <c:dLblPos val="outEnd"/>
              <c:showLegendKey val="0"/>
              <c:showVal val="1"/>
              <c:showCatName val="0"/>
              <c:showSerName val="0"/>
              <c:showPercent val="0"/>
              <c:showBubbleSize val="0"/>
            </c:dLbl>
            <c:dLbl>
              <c:idx val="16"/>
              <c:layout/>
              <c:tx>
                <c:strRef>
                  <c:f>'Age1.2'!$Q$20</c:f>
                  <c:strCache>
                    <c:ptCount val="1"/>
                    <c:pt idx="0">
                      <c:v>38 </c:v>
                    </c:pt>
                  </c:strCache>
                </c:strRef>
              </c:tx>
              <c:dLblPos val="outEnd"/>
              <c:showLegendKey val="0"/>
              <c:showVal val="1"/>
              <c:showCatName val="0"/>
              <c:showSerName val="0"/>
              <c:showPercent val="0"/>
              <c:showBubbleSize val="0"/>
            </c:dLbl>
            <c:dLbl>
              <c:idx val="17"/>
              <c:layout/>
              <c:tx>
                <c:strRef>
                  <c:f>'Age1.2'!$Q$21</c:f>
                  <c:strCache>
                    <c:ptCount val="1"/>
                    <c:pt idx="0">
                      <c:v>11 </c:v>
                    </c:pt>
                  </c:strCache>
                </c:strRef>
              </c:tx>
              <c:dLblPos val="outEnd"/>
              <c:showLegendKey val="0"/>
              <c:showVal val="1"/>
              <c:showCatName val="0"/>
              <c:showSerName val="0"/>
              <c:showPercent val="0"/>
              <c:showBubbleSize val="0"/>
            </c:dLbl>
            <c:dLbl>
              <c:idx val="18"/>
              <c:layout/>
              <c:tx>
                <c:strRef>
                  <c:f>'Age1.2'!$Q$22</c:f>
                  <c:strCache>
                    <c:ptCount val="1"/>
                    <c:pt idx="0">
                      <c:v>14 </c:v>
                    </c:pt>
                  </c:strCache>
                </c:strRef>
              </c:tx>
              <c:dLblPos val="outEnd"/>
              <c:showLegendKey val="0"/>
              <c:showVal val="1"/>
              <c:showCatName val="0"/>
              <c:showSerName val="0"/>
              <c:showPercent val="0"/>
              <c:showBubbleSize val="0"/>
            </c:dLbl>
            <c:dLbl>
              <c:idx val="19"/>
              <c:delete val="1"/>
            </c:dLbl>
            <c:dLbl>
              <c:idx val="20"/>
              <c:layout/>
              <c:tx>
                <c:strRef>
                  <c:f>'Age1.2'!$Q$24</c:f>
                  <c:strCache>
                    <c:ptCount val="1"/>
                    <c:pt idx="0">
                      <c:v>33 </c:v>
                    </c:pt>
                  </c:strCache>
                </c:strRef>
              </c:tx>
              <c:dLblPos val="outEnd"/>
              <c:showLegendKey val="0"/>
              <c:showVal val="1"/>
              <c:showCatName val="0"/>
              <c:showSerName val="0"/>
              <c:showPercent val="0"/>
              <c:showBubbleSize val="0"/>
            </c:dLbl>
            <c:dLbl>
              <c:idx val="21"/>
              <c:layout/>
              <c:tx>
                <c:strRef>
                  <c:f>'Age1.2'!$Q$25</c:f>
                  <c:strCache>
                    <c:ptCount val="1"/>
                    <c:pt idx="0">
                      <c:v>17 </c:v>
                    </c:pt>
                  </c:strCache>
                </c:strRef>
              </c:tx>
              <c:dLblPos val="outEnd"/>
              <c:showLegendKey val="0"/>
              <c:showVal val="1"/>
              <c:showCatName val="0"/>
              <c:showSerName val="0"/>
              <c:showPercent val="0"/>
              <c:showBubbleSize val="0"/>
            </c:dLbl>
            <c:dLbl>
              <c:idx val="22"/>
              <c:layout/>
              <c:tx>
                <c:strRef>
                  <c:f>'Age1.2'!$Q$26</c:f>
                  <c:strCache>
                    <c:ptCount val="1"/>
                    <c:pt idx="0">
                      <c:v>39 </c:v>
                    </c:pt>
                  </c:strCache>
                </c:strRef>
              </c:tx>
              <c:dLblPos val="outEnd"/>
              <c:showLegendKey val="0"/>
              <c:showVal val="1"/>
              <c:showCatName val="0"/>
              <c:showSerName val="0"/>
              <c:showPercent val="0"/>
              <c:showBubbleSize val="0"/>
            </c:dLbl>
            <c:dLbl>
              <c:idx val="23"/>
              <c:layout/>
              <c:tx>
                <c:strRef>
                  <c:f>'Age1.2'!$Q$27</c:f>
                  <c:strCache>
                    <c:ptCount val="1"/>
                    <c:pt idx="0">
                      <c:v>16 </c:v>
                    </c:pt>
                  </c:strCache>
                </c:strRef>
              </c:tx>
              <c:dLblPos val="outEnd"/>
              <c:showLegendKey val="0"/>
              <c:showVal val="1"/>
              <c:showCatName val="0"/>
              <c:showSerName val="0"/>
              <c:showPercent val="0"/>
              <c:showBubbleSize val="0"/>
            </c:dLbl>
            <c:dLbl>
              <c:idx val="24"/>
              <c:delete val="1"/>
            </c:dLbl>
            <c:dLbl>
              <c:idx val="25"/>
              <c:layout/>
              <c:tx>
                <c:strRef>
                  <c:f>'Age1.2'!$Q$29</c:f>
                  <c:strCache>
                    <c:ptCount val="1"/>
                    <c:pt idx="0">
                      <c:v>19 </c:v>
                    </c:pt>
                  </c:strCache>
                </c:strRef>
              </c:tx>
              <c:dLblPos val="outEnd"/>
              <c:showLegendKey val="0"/>
              <c:showVal val="1"/>
              <c:showCatName val="0"/>
              <c:showSerName val="0"/>
              <c:showPercent val="0"/>
              <c:showBubbleSize val="0"/>
            </c:dLbl>
            <c:dLbl>
              <c:idx val="26"/>
              <c:layout/>
              <c:tx>
                <c:strRef>
                  <c:f>'Age1.2'!$Q$30</c:f>
                  <c:strCache>
                    <c:ptCount val="1"/>
                    <c:pt idx="0">
                      <c:v>27 </c:v>
                    </c:pt>
                  </c:strCache>
                </c:strRef>
              </c:tx>
              <c:dLblPos val="outEnd"/>
              <c:showLegendKey val="0"/>
              <c:showVal val="1"/>
              <c:showCatName val="0"/>
              <c:showSerName val="0"/>
              <c:showPercent val="0"/>
              <c:showBubbleSize val="0"/>
            </c:dLbl>
            <c:dLbl>
              <c:idx val="27"/>
              <c:delete val="1"/>
            </c:dLbl>
            <c:dLbl>
              <c:idx val="28"/>
              <c:delete val="1"/>
            </c:dLbl>
            <c:dLbl>
              <c:idx val="29"/>
              <c:layout/>
              <c:tx>
                <c:strRef>
                  <c:f>'Age1.2'!$Q$33</c:f>
                  <c:strCache>
                    <c:ptCount val="1"/>
                    <c:pt idx="0">
                      <c:v>29 </c:v>
                    </c:pt>
                  </c:strCache>
                </c:strRef>
              </c:tx>
              <c:dLblPos val="outEnd"/>
              <c:showLegendKey val="0"/>
              <c:showVal val="1"/>
              <c:showCatName val="0"/>
              <c:showSerName val="0"/>
              <c:showPercent val="0"/>
              <c:showBubbleSize val="0"/>
            </c:dLbl>
            <c:dLbl>
              <c:idx val="30"/>
              <c:layout/>
              <c:tx>
                <c:strRef>
                  <c:f>'Age1.2'!$Q$34</c:f>
                  <c:strCache>
                    <c:ptCount val="1"/>
                    <c:pt idx="0">
                      <c:v>6 </c:v>
                    </c:pt>
                  </c:strCache>
                </c:strRef>
              </c:tx>
              <c:dLblPos val="outEnd"/>
              <c:showLegendKey val="0"/>
              <c:showVal val="1"/>
              <c:showCatName val="0"/>
              <c:showSerName val="0"/>
              <c:showPercent val="0"/>
              <c:showBubbleSize val="0"/>
            </c:dLbl>
            <c:dLbl>
              <c:idx val="31"/>
              <c:layout/>
              <c:tx>
                <c:strRef>
                  <c:f>'Age1.2'!$Q$35</c:f>
                  <c:strCache>
                    <c:ptCount val="1"/>
                    <c:pt idx="0">
                      <c:v>3 </c:v>
                    </c:pt>
                  </c:strCache>
                </c:strRef>
              </c:tx>
              <c:dLblPos val="outEnd"/>
              <c:showLegendKey val="0"/>
              <c:showVal val="1"/>
              <c:showCatName val="0"/>
              <c:showSerName val="0"/>
              <c:showPercent val="0"/>
              <c:showBubbleSize val="0"/>
            </c:dLbl>
            <c:dLbl>
              <c:idx val="32"/>
              <c:layout/>
              <c:tx>
                <c:strRef>
                  <c:f>'Age1.2'!$Q$36</c:f>
                  <c:strCache>
                    <c:ptCount val="1"/>
                    <c:pt idx="0">
                      <c:v>24 </c:v>
                    </c:pt>
                  </c:strCache>
                </c:strRef>
              </c:tx>
              <c:dLblPos val="outEnd"/>
              <c:showLegendKey val="0"/>
              <c:showVal val="1"/>
              <c:showCatName val="0"/>
              <c:showSerName val="0"/>
              <c:showPercent val="0"/>
              <c:showBubbleSize val="0"/>
            </c:dLbl>
            <c:dLbl>
              <c:idx val="33"/>
              <c:layout/>
              <c:tx>
                <c:strRef>
                  <c:f>'Age1.2'!$Q$37</c:f>
                  <c:strCache>
                    <c:ptCount val="1"/>
                    <c:pt idx="0">
                      <c:v>21 </c:v>
                    </c:pt>
                  </c:strCache>
                </c:strRef>
              </c:tx>
              <c:dLblPos val="outEnd"/>
              <c:showLegendKey val="0"/>
              <c:showVal val="1"/>
              <c:showCatName val="0"/>
              <c:showSerName val="0"/>
              <c:showPercent val="0"/>
              <c:showBubbleSize val="0"/>
            </c:dLbl>
            <c:dLbl>
              <c:idx val="34"/>
              <c:layout/>
              <c:tx>
                <c:strRef>
                  <c:f>'Age1.2'!$Q$38</c:f>
                  <c:strCache>
                    <c:ptCount val="1"/>
                    <c:pt idx="0">
                      <c:v>28 </c:v>
                    </c:pt>
                  </c:strCache>
                </c:strRef>
              </c:tx>
              <c:dLblPos val="outEnd"/>
              <c:showLegendKey val="0"/>
              <c:showVal val="1"/>
              <c:showCatName val="0"/>
              <c:showSerName val="0"/>
              <c:showPercent val="0"/>
              <c:showBubbleSize val="0"/>
            </c:dLbl>
            <c:dLbl>
              <c:idx val="35"/>
              <c:layout/>
              <c:tx>
                <c:strRef>
                  <c:f>'Age1.2'!$Q$39</c:f>
                  <c:strCache>
                    <c:ptCount val="1"/>
                    <c:pt idx="0">
                      <c:v>47 </c:v>
                    </c:pt>
                  </c:strCache>
                </c:strRef>
              </c:tx>
              <c:dLblPos val="outEnd"/>
              <c:showLegendKey val="0"/>
              <c:showVal val="1"/>
              <c:showCatName val="0"/>
              <c:showSerName val="0"/>
              <c:showPercent val="0"/>
              <c:showBubbleSize val="0"/>
            </c:dLbl>
            <c:dLbl>
              <c:idx val="36"/>
              <c:layout/>
              <c:tx>
                <c:strRef>
                  <c:f>'Age1.2'!$Q$40</c:f>
                  <c:strCache>
                    <c:ptCount val="1"/>
                    <c:pt idx="0">
                      <c:v>43 </c:v>
                    </c:pt>
                  </c:strCache>
                </c:strRef>
              </c:tx>
              <c:dLblPos val="outEnd"/>
              <c:showLegendKey val="0"/>
              <c:showVal val="1"/>
              <c:showCatName val="0"/>
              <c:showSerName val="0"/>
              <c:showPercent val="0"/>
              <c:showBubbleSize val="0"/>
            </c:dLbl>
            <c:dLbl>
              <c:idx val="37"/>
              <c:layout/>
              <c:tx>
                <c:strRef>
                  <c:f>'Age1.2'!$Q$41</c:f>
                  <c:strCache>
                    <c:ptCount val="1"/>
                    <c:pt idx="0">
                      <c:v>12 </c:v>
                    </c:pt>
                  </c:strCache>
                </c:strRef>
              </c:tx>
              <c:dLblPos val="outEnd"/>
              <c:showLegendKey val="0"/>
              <c:showVal val="1"/>
              <c:showCatName val="0"/>
              <c:showSerName val="0"/>
              <c:showPercent val="0"/>
              <c:showBubbleSize val="0"/>
            </c:dLbl>
            <c:dLbl>
              <c:idx val="38"/>
              <c:layout/>
              <c:tx>
                <c:strRef>
                  <c:f>'Age1.2'!$Q$42</c:f>
                  <c:strCache>
                    <c:ptCount val="1"/>
                    <c:pt idx="0">
                      <c:v>20 </c:v>
                    </c:pt>
                  </c:strCache>
                </c:strRef>
              </c:tx>
              <c:dLblPos val="outEnd"/>
              <c:showLegendKey val="0"/>
              <c:showVal val="1"/>
              <c:showCatName val="0"/>
              <c:showSerName val="0"/>
              <c:showPercent val="0"/>
              <c:showBubbleSize val="0"/>
            </c:dLbl>
            <c:dLbl>
              <c:idx val="39"/>
              <c:layout/>
              <c:tx>
                <c:strRef>
                  <c:f>'Age1.2'!$Q$43</c:f>
                  <c:strCache>
                    <c:ptCount val="1"/>
                    <c:pt idx="0">
                      <c:v>4 </c:v>
                    </c:pt>
                  </c:strCache>
                </c:strRef>
              </c:tx>
              <c:dLblPos val="outEnd"/>
              <c:showLegendKey val="0"/>
              <c:showVal val="1"/>
              <c:showCatName val="0"/>
              <c:showSerName val="0"/>
              <c:showPercent val="0"/>
              <c:showBubbleSize val="0"/>
            </c:dLbl>
            <c:dLbl>
              <c:idx val="40"/>
              <c:layout/>
              <c:tx>
                <c:strRef>
                  <c:f>'Age1.2'!$Q$44</c:f>
                  <c:strCache>
                    <c:ptCount val="1"/>
                    <c:pt idx="0">
                      <c:v>22 </c:v>
                    </c:pt>
                  </c:strCache>
                </c:strRef>
              </c:tx>
              <c:dLblPos val="outEnd"/>
              <c:showLegendKey val="0"/>
              <c:showVal val="1"/>
              <c:showCatName val="0"/>
              <c:showSerName val="0"/>
              <c:showPercent val="0"/>
              <c:showBubbleSize val="0"/>
            </c:dLbl>
            <c:dLbl>
              <c:idx val="41"/>
              <c:layout/>
              <c:tx>
                <c:strRef>
                  <c:f>'Age1.2'!$Q$45</c:f>
                  <c:strCache>
                    <c:ptCount val="1"/>
                    <c:pt idx="0">
                      <c:v>9 </c:v>
                    </c:pt>
                  </c:strCache>
                </c:strRef>
              </c:tx>
              <c:dLblPos val="outEnd"/>
              <c:showLegendKey val="0"/>
              <c:showVal val="1"/>
              <c:showCatName val="0"/>
              <c:showSerName val="0"/>
              <c:showPercent val="0"/>
              <c:showBubbleSize val="0"/>
            </c:dLbl>
            <c:dLbl>
              <c:idx val="42"/>
              <c:layout/>
              <c:tx>
                <c:strRef>
                  <c:f>'Age1.2'!$Q$46</c:f>
                  <c:strCache>
                    <c:ptCount val="1"/>
                    <c:pt idx="0">
                      <c:v>36 </c:v>
                    </c:pt>
                  </c:strCache>
                </c:strRef>
              </c:tx>
              <c:dLblPos val="outEnd"/>
              <c:showLegendKey val="0"/>
              <c:showVal val="1"/>
              <c:showCatName val="0"/>
              <c:showSerName val="0"/>
              <c:showPercent val="0"/>
              <c:showBubbleSize val="0"/>
            </c:dLbl>
            <c:dLbl>
              <c:idx val="43"/>
              <c:layout/>
              <c:tx>
                <c:strRef>
                  <c:f>'Age1.2'!$Q$47</c:f>
                  <c:strCache>
                    <c:ptCount val="1"/>
                    <c:pt idx="0">
                      <c:v>40 </c:v>
                    </c:pt>
                  </c:strCache>
                </c:strRef>
              </c:tx>
              <c:dLblPos val="outEnd"/>
              <c:showLegendKey val="0"/>
              <c:showVal val="1"/>
              <c:showCatName val="0"/>
              <c:showSerName val="0"/>
              <c:showPercent val="0"/>
              <c:showBubbleSize val="0"/>
            </c:dLbl>
            <c:dLbl>
              <c:idx val="44"/>
              <c:layout/>
              <c:tx>
                <c:strRef>
                  <c:f>'Age1.2'!$Q$48</c:f>
                  <c:strCache>
                    <c:ptCount val="1"/>
                    <c:pt idx="0">
                      <c:v>13 </c:v>
                    </c:pt>
                  </c:strCache>
                </c:strRef>
              </c:tx>
              <c:dLblPos val="outEnd"/>
              <c:showLegendKey val="0"/>
              <c:showVal val="1"/>
              <c:showCatName val="0"/>
              <c:showSerName val="0"/>
              <c:showPercent val="0"/>
              <c:showBubbleSize val="0"/>
            </c:dLbl>
            <c:dLbl>
              <c:idx val="45"/>
              <c:layout/>
              <c:tx>
                <c:strRef>
                  <c:f>'Age1.2'!$Q$49</c:f>
                  <c:strCache>
                    <c:ptCount val="1"/>
                    <c:pt idx="0">
                      <c:v>8 </c:v>
                    </c:pt>
                  </c:strCache>
                </c:strRef>
              </c:tx>
              <c:dLblPos val="outEnd"/>
              <c:showLegendKey val="0"/>
              <c:showVal val="1"/>
              <c:showCatName val="0"/>
              <c:showSerName val="0"/>
              <c:showPercent val="0"/>
              <c:showBubbleSize val="0"/>
            </c:dLbl>
            <c:dLbl>
              <c:idx val="46"/>
              <c:layout/>
              <c:tx>
                <c:strRef>
                  <c:f>'Age1.2'!$Q$50</c:f>
                  <c:strCache>
                    <c:ptCount val="1"/>
                    <c:pt idx="0">
                      <c:v>7 </c:v>
                    </c:pt>
                  </c:strCache>
                </c:strRef>
              </c:tx>
              <c:dLblPos val="outEnd"/>
              <c:showLegendKey val="0"/>
              <c:showVal val="1"/>
              <c:showCatName val="0"/>
              <c:showSerName val="0"/>
              <c:showPercent val="0"/>
              <c:showBubbleSize val="0"/>
            </c:dLbl>
            <c:dLbl>
              <c:idx val="47"/>
              <c:layout/>
              <c:tx>
                <c:strRef>
                  <c:f>'Age1.2'!$Q$51</c:f>
                  <c:strCache>
                    <c:ptCount val="1"/>
                    <c:pt idx="0">
                      <c:v>5 </c:v>
                    </c:pt>
                  </c:strCache>
                </c:strRef>
              </c:tx>
              <c:dLblPos val="outEnd"/>
              <c:showLegendKey val="0"/>
              <c:showVal val="1"/>
              <c:showCatName val="0"/>
              <c:showSerName val="0"/>
              <c:showPercent val="0"/>
              <c:showBubbleSize val="0"/>
            </c:dLbl>
            <c:dLbl>
              <c:idx val="48"/>
              <c:layout/>
              <c:tx>
                <c:strRef>
                  <c:f>'Age1.2'!$Q$52</c:f>
                  <c:strCache>
                    <c:ptCount val="1"/>
                    <c:pt idx="0">
                      <c:v>2 </c:v>
                    </c:pt>
                  </c:strCache>
                </c:strRef>
              </c:tx>
              <c:dLblPos val="outEnd"/>
              <c:showLegendKey val="0"/>
              <c:showVal val="1"/>
              <c:showCatName val="0"/>
              <c:showSerName val="0"/>
              <c:showPercent val="0"/>
              <c:showBubbleSize val="0"/>
            </c:dLbl>
            <c:dLbl>
              <c:idx val="49"/>
              <c:layout/>
              <c:tx>
                <c:strRef>
                  <c:f>'Age1.2'!$Q$53</c:f>
                  <c:strCache>
                    <c:ptCount val="1"/>
                    <c:pt idx="0">
                      <c:v>1 </c:v>
                    </c:pt>
                  </c:strCache>
                </c:strRef>
              </c:tx>
              <c:dLblPos val="outEnd"/>
              <c:showLegendKey val="0"/>
              <c:showVal val="1"/>
              <c:showCatName val="0"/>
              <c:showSerName val="0"/>
              <c:showPercent val="0"/>
              <c:showBubbleSize val="0"/>
            </c:dLbl>
            <c:dLblPos val="outEnd"/>
            <c:showLegendKey val="0"/>
            <c:showVal val="1"/>
            <c:showCatName val="0"/>
            <c:showSerName val="0"/>
            <c:showPercent val="0"/>
            <c:showBubbleSize val="0"/>
            <c:showLeaderLines val="0"/>
          </c:dLbls>
          <c:cat>
            <c:numRef>
              <c:f>'Age1.2'!$O$4:$O$53</c:f>
              <c:numCache>
                <c:formatCode>General</c:formatCode>
                <c:ptCount val="50"/>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numCache>
            </c:numRef>
          </c:cat>
          <c:val>
            <c:numRef>
              <c:f>'Age1.2'!$P$4:$P$53</c:f>
              <c:numCache>
                <c:formatCode>#,##0_);\(#,##0\)</c:formatCode>
                <c:ptCount val="50"/>
                <c:pt idx="0">
                  <c:v>179040.49850974398</c:v>
                </c:pt>
                <c:pt idx="1">
                  <c:v>102401.66367310109</c:v>
                </c:pt>
                <c:pt idx="2">
                  <c:v>97592.469650151805</c:v>
                </c:pt>
                <c:pt idx="3">
                  <c:v>290718.45227450889</c:v>
                </c:pt>
                <c:pt idx="4">
                  <c:v>386377.08528941998</c:v>
                </c:pt>
                <c:pt idx="5">
                  <c:v>302159.62071066484</c:v>
                </c:pt>
                <c:pt idx="6">
                  <c:v>97321.711125474932</c:v>
                </c:pt>
                <c:pt idx="7">
                  <c:v>145881.52486171451</c:v>
                </c:pt>
                <c:pt idx="8">
                  <c:v>101514.29846521815</c:v>
                </c:pt>
                <c:pt idx="9">
                  <c:v>83934.462420078504</c:v>
                </c:pt>
                <c:pt idx="10">
                  <c:v>48348.917227885802</c:v>
                </c:pt>
                <c:pt idx="11">
                  <c:v>140037.97254138521</c:v>
                </c:pt>
                <c:pt idx="12">
                  <c:v>30330.912651635219</c:v>
                </c:pt>
                <c:pt idx="13">
                  <c:v>154457.91935439411</c:v>
                </c:pt>
                <c:pt idx="14">
                  <c:v>68722.812745743839</c:v>
                </c:pt>
                <c:pt idx="15">
                  <c:v>173715.68474284798</c:v>
                </c:pt>
                <c:pt idx="16">
                  <c:v>135148.94242353513</c:v>
                </c:pt>
                <c:pt idx="17">
                  <c:v>359995.48750384717</c:v>
                </c:pt>
                <c:pt idx="18">
                  <c:v>346502.19282529014</c:v>
                </c:pt>
                <c:pt idx="19">
                  <c:v>203458.33386630402</c:v>
                </c:pt>
                <c:pt idx="20">
                  <c:v>157083.49997006214</c:v>
                </c:pt>
                <c:pt idx="21">
                  <c:v>292198.40738779912</c:v>
                </c:pt>
                <c:pt idx="22">
                  <c:v>113889.25746653602</c:v>
                </c:pt>
                <c:pt idx="23">
                  <c:v>294557.28228182066</c:v>
                </c:pt>
                <c:pt idx="24">
                  <c:v>240741.58041960336</c:v>
                </c:pt>
                <c:pt idx="25">
                  <c:v>283682.55642391811</c:v>
                </c:pt>
                <c:pt idx="26">
                  <c:v>229875.14425105081</c:v>
                </c:pt>
                <c:pt idx="27">
                  <c:v>237957.34811608869</c:v>
                </c:pt>
                <c:pt idx="28">
                  <c:v>249913.77094685714</c:v>
                </c:pt>
                <c:pt idx="29">
                  <c:v>210751.78888782303</c:v>
                </c:pt>
                <c:pt idx="30">
                  <c:v>443740.93051869422</c:v>
                </c:pt>
                <c:pt idx="31">
                  <c:v>505425.03393203206</c:v>
                </c:pt>
                <c:pt idx="32">
                  <c:v>247453.35635972215</c:v>
                </c:pt>
                <c:pt idx="33">
                  <c:v>271467.29571051238</c:v>
                </c:pt>
                <c:pt idx="34">
                  <c:v>219305.37513567525</c:v>
                </c:pt>
                <c:pt idx="35">
                  <c:v>76308.890082196463</c:v>
                </c:pt>
                <c:pt idx="36">
                  <c:v>100643.96414584623</c:v>
                </c:pt>
                <c:pt idx="37">
                  <c:v>359050.78446500207</c:v>
                </c:pt>
                <c:pt idx="38">
                  <c:v>272182.51143379207</c:v>
                </c:pt>
                <c:pt idx="39">
                  <c:v>501789.11599463865</c:v>
                </c:pt>
                <c:pt idx="40">
                  <c:v>258148.88316457791</c:v>
                </c:pt>
                <c:pt idx="41">
                  <c:v>401156.89491228049</c:v>
                </c:pt>
                <c:pt idx="42">
                  <c:v>144497.9544226641</c:v>
                </c:pt>
                <c:pt idx="43">
                  <c:v>103350.61858821202</c:v>
                </c:pt>
                <c:pt idx="44">
                  <c:v>348675.14452879829</c:v>
                </c:pt>
                <c:pt idx="45">
                  <c:v>409775.58032286481</c:v>
                </c:pt>
                <c:pt idx="46">
                  <c:v>442676.75714160182</c:v>
                </c:pt>
                <c:pt idx="47">
                  <c:v>456063.26080517849</c:v>
                </c:pt>
                <c:pt idx="48">
                  <c:v>650733.61710635398</c:v>
                </c:pt>
                <c:pt idx="49">
                  <c:v>696926.54247166798</c:v>
                </c:pt>
              </c:numCache>
            </c:numRef>
          </c:val>
        </c:ser>
        <c:dLbls>
          <c:showLegendKey val="0"/>
          <c:showVal val="0"/>
          <c:showCatName val="0"/>
          <c:showSerName val="0"/>
          <c:showPercent val="0"/>
          <c:showBubbleSize val="0"/>
        </c:dLbls>
        <c:gapWidth val="150"/>
        <c:axId val="351300608"/>
        <c:axId val="351347456"/>
      </c:barChart>
      <c:lineChart>
        <c:grouping val="standard"/>
        <c:varyColors val="0"/>
        <c:ser>
          <c:idx val="1"/>
          <c:order val="1"/>
          <c:spPr>
            <a:ln w="12700">
              <a:solidFill>
                <a:srgbClr val="FF00FF"/>
              </a:solidFill>
              <a:prstDash val="solid"/>
            </a:ln>
          </c:spPr>
          <c:marker>
            <c:symbol val="triangle"/>
            <c:size val="10"/>
            <c:spPr>
              <a:solidFill>
                <a:srgbClr val="FF0000"/>
              </a:solidFill>
              <a:ln>
                <a:solidFill>
                  <a:srgbClr val="FF0000"/>
                </a:solidFill>
                <a:prstDash val="solid"/>
              </a:ln>
            </c:spPr>
          </c:marker>
          <c:cat>
            <c:numRef>
              <c:f>'Age1.2'!$O$4:$O$53</c:f>
              <c:numCache>
                <c:formatCode>General</c:formatCode>
                <c:ptCount val="50"/>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numCache>
            </c:numRef>
          </c:cat>
          <c:val>
            <c:numRef>
              <c:f>'Age1.2'!$R$4:$R$52</c:f>
              <c:numCache>
                <c:formatCode>General</c:formatCode>
                <c:ptCount val="4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numCache>
            </c:numRef>
          </c:val>
          <c:smooth val="0"/>
        </c:ser>
        <c:ser>
          <c:idx val="2"/>
          <c:order val="2"/>
          <c:spPr>
            <a:ln w="12700">
              <a:solidFill>
                <a:srgbClr val="000000"/>
              </a:solidFill>
              <a:prstDash val="solid"/>
            </a:ln>
          </c:spPr>
          <c:marker>
            <c:symbol val="none"/>
          </c:marker>
          <c:cat>
            <c:numRef>
              <c:f>'Age1.2'!$O$4:$O$53</c:f>
              <c:numCache>
                <c:formatCode>General</c:formatCode>
                <c:ptCount val="50"/>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numCache>
            </c:numRef>
          </c:cat>
          <c:val>
            <c:numRef>
              <c:f>'Age1.2'!$S$4:$S$53</c:f>
              <c:numCache>
                <c:formatCode>#,##0</c:formatCode>
                <c:ptCount val="50"/>
                <c:pt idx="0">
                  <c:v>391201</c:v>
                </c:pt>
                <c:pt idx="1">
                  <c:v>391201</c:v>
                </c:pt>
                <c:pt idx="2">
                  <c:v>391201</c:v>
                </c:pt>
                <c:pt idx="3">
                  <c:v>391201</c:v>
                </c:pt>
                <c:pt idx="4">
                  <c:v>391201</c:v>
                </c:pt>
                <c:pt idx="5">
                  <c:v>391201</c:v>
                </c:pt>
                <c:pt idx="6">
                  <c:v>391201</c:v>
                </c:pt>
                <c:pt idx="7">
                  <c:v>391201</c:v>
                </c:pt>
                <c:pt idx="8">
                  <c:v>391201</c:v>
                </c:pt>
                <c:pt idx="9">
                  <c:v>391201</c:v>
                </c:pt>
                <c:pt idx="10">
                  <c:v>391201</c:v>
                </c:pt>
                <c:pt idx="11">
                  <c:v>391201</c:v>
                </c:pt>
                <c:pt idx="12">
                  <c:v>391201</c:v>
                </c:pt>
                <c:pt idx="13">
                  <c:v>391201</c:v>
                </c:pt>
                <c:pt idx="14">
                  <c:v>391201</c:v>
                </c:pt>
                <c:pt idx="15">
                  <c:v>391201</c:v>
                </c:pt>
                <c:pt idx="16">
                  <c:v>391201</c:v>
                </c:pt>
                <c:pt idx="17">
                  <c:v>391201</c:v>
                </c:pt>
                <c:pt idx="18">
                  <c:v>391201</c:v>
                </c:pt>
                <c:pt idx="19">
                  <c:v>391201</c:v>
                </c:pt>
                <c:pt idx="20">
                  <c:v>391201</c:v>
                </c:pt>
                <c:pt idx="21">
                  <c:v>391201</c:v>
                </c:pt>
                <c:pt idx="22">
                  <c:v>391201</c:v>
                </c:pt>
                <c:pt idx="23">
                  <c:v>391201</c:v>
                </c:pt>
                <c:pt idx="24">
                  <c:v>391201</c:v>
                </c:pt>
                <c:pt idx="25">
                  <c:v>391201</c:v>
                </c:pt>
                <c:pt idx="26">
                  <c:v>391201</c:v>
                </c:pt>
                <c:pt idx="27">
                  <c:v>391201</c:v>
                </c:pt>
                <c:pt idx="28">
                  <c:v>391201</c:v>
                </c:pt>
                <c:pt idx="29">
                  <c:v>391201</c:v>
                </c:pt>
                <c:pt idx="30">
                  <c:v>391201</c:v>
                </c:pt>
                <c:pt idx="31">
                  <c:v>391201</c:v>
                </c:pt>
                <c:pt idx="32">
                  <c:v>391201</c:v>
                </c:pt>
                <c:pt idx="33">
                  <c:v>391201</c:v>
                </c:pt>
                <c:pt idx="34">
                  <c:v>391201</c:v>
                </c:pt>
                <c:pt idx="35">
                  <c:v>391201</c:v>
                </c:pt>
                <c:pt idx="36">
                  <c:v>391201</c:v>
                </c:pt>
                <c:pt idx="37">
                  <c:v>391201</c:v>
                </c:pt>
                <c:pt idx="38">
                  <c:v>391201</c:v>
                </c:pt>
                <c:pt idx="39">
                  <c:v>391201</c:v>
                </c:pt>
                <c:pt idx="40">
                  <c:v>391201</c:v>
                </c:pt>
                <c:pt idx="41">
                  <c:v>391201</c:v>
                </c:pt>
                <c:pt idx="42">
                  <c:v>391201</c:v>
                </c:pt>
                <c:pt idx="43">
                  <c:v>391201</c:v>
                </c:pt>
                <c:pt idx="44">
                  <c:v>391201</c:v>
                </c:pt>
                <c:pt idx="45">
                  <c:v>391201</c:v>
                </c:pt>
                <c:pt idx="46">
                  <c:v>391201</c:v>
                </c:pt>
                <c:pt idx="47">
                  <c:v>391201</c:v>
                </c:pt>
                <c:pt idx="48">
                  <c:v>391201</c:v>
                </c:pt>
                <c:pt idx="49">
                  <c:v>391201</c:v>
                </c:pt>
              </c:numCache>
            </c:numRef>
          </c:val>
          <c:smooth val="0"/>
        </c:ser>
        <c:dLbls>
          <c:showLegendKey val="0"/>
          <c:showVal val="0"/>
          <c:showCatName val="0"/>
          <c:showSerName val="0"/>
          <c:showPercent val="0"/>
          <c:showBubbleSize val="0"/>
        </c:dLbls>
        <c:marker val="1"/>
        <c:smooth val="0"/>
        <c:axId val="351300608"/>
        <c:axId val="351347456"/>
      </c:lineChart>
      <c:catAx>
        <c:axId val="351300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Times New Roman"/>
                <a:ea typeface="Times New Roman"/>
                <a:cs typeface="Times New Roman"/>
              </a:defRPr>
            </a:pPr>
            <a:endParaRPr lang="en-US"/>
          </a:p>
        </c:txPr>
        <c:crossAx val="351347456"/>
        <c:crosses val="autoZero"/>
        <c:auto val="1"/>
        <c:lblAlgn val="ctr"/>
        <c:lblOffset val="100"/>
        <c:tickLblSkip val="2"/>
        <c:tickMarkSkip val="1"/>
        <c:noMultiLvlLbl val="0"/>
      </c:catAx>
      <c:valAx>
        <c:axId val="351347456"/>
        <c:scaling>
          <c:orientation val="minMax"/>
        </c:scaling>
        <c:delete val="0"/>
        <c:axPos val="l"/>
        <c:title>
          <c:tx>
            <c:rich>
              <a:bodyPr/>
              <a:lstStyle/>
              <a:p>
                <a:pPr>
                  <a:defRPr sz="1425" b="1" i="0" u="none" strike="noStrike" baseline="0">
                    <a:solidFill>
                      <a:srgbClr val="000000"/>
                    </a:solidFill>
                    <a:latin typeface="Times New Roman"/>
                    <a:ea typeface="Times New Roman"/>
                    <a:cs typeface="Times New Roman"/>
                  </a:defRPr>
                </a:pPr>
                <a:r>
                  <a:rPr lang="en-US"/>
                  <a:t>Nr. of fish</a:t>
                </a:r>
              </a:p>
            </c:rich>
          </c:tx>
          <c:layout>
            <c:manualLayout>
              <c:xMode val="edge"/>
              <c:yMode val="edge"/>
              <c:x val="2.1887824897400831E-2"/>
              <c:y val="0.29133858267716756"/>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351300608"/>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236662106703146"/>
          <c:y val="0.11417322834645738"/>
          <c:w val="0.80848153214774277"/>
          <c:h val="0.68897637795275557"/>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'Age1.2'!$O$4:$O$53</c:f>
              <c:numCache>
                <c:formatCode>General</c:formatCode>
                <c:ptCount val="50"/>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numCache>
            </c:numRef>
          </c:cat>
          <c:val>
            <c:numRef>
              <c:f>'Age1.2'!$U$4:$U$53</c:f>
              <c:numCache>
                <c:formatCode>0.0%</c:formatCode>
                <c:ptCount val="50"/>
                <c:pt idx="0">
                  <c:v>-0.54233118394445823</c:v>
                </c:pt>
                <c:pt idx="1">
                  <c:v>-0.7382377251768244</c:v>
                </c:pt>
                <c:pt idx="2">
                  <c:v>-0.75053113450591435</c:v>
                </c:pt>
                <c:pt idx="3">
                  <c:v>-0.25685657175081633</c:v>
                </c:pt>
                <c:pt idx="4">
                  <c:v>-1.2331038802508231E-2</c:v>
                </c:pt>
                <c:pt idx="5">
                  <c:v>-0.22761030592798884</c:v>
                </c:pt>
                <c:pt idx="6">
                  <c:v>-0.75122325575477833</c:v>
                </c:pt>
                <c:pt idx="7">
                  <c:v>-0.62709316984947761</c:v>
                </c:pt>
                <c:pt idx="8">
                  <c:v>-0.7405060353495565</c:v>
                </c:pt>
                <c:pt idx="9">
                  <c:v>-0.78544415167630321</c:v>
                </c:pt>
                <c:pt idx="10">
                  <c:v>-0.87640901422060324</c:v>
                </c:pt>
                <c:pt idx="11">
                  <c:v>-0.64203063759707868</c:v>
                </c:pt>
                <c:pt idx="12">
                  <c:v>-0.92246719039155001</c:v>
                </c:pt>
                <c:pt idx="13">
                  <c:v>-0.60516992708506856</c:v>
                </c:pt>
                <c:pt idx="14">
                  <c:v>-0.8243286373354265</c:v>
                </c:pt>
                <c:pt idx="15">
                  <c:v>-0.55594263628454943</c:v>
                </c:pt>
                <c:pt idx="16">
                  <c:v>-0.65452812640168323</c:v>
                </c:pt>
                <c:pt idx="17">
                  <c:v>-7.976848856764894E-2</c:v>
                </c:pt>
                <c:pt idx="18">
                  <c:v>-0.11426046245973262</c:v>
                </c:pt>
                <c:pt idx="19">
                  <c:v>-0.47991356395739271</c:v>
                </c:pt>
                <c:pt idx="20">
                  <c:v>-0.59845833735071707</c:v>
                </c:pt>
                <c:pt idx="21">
                  <c:v>-0.25307346507856798</c:v>
                </c:pt>
                <c:pt idx="22">
                  <c:v>-0.70887278543118237</c:v>
                </c:pt>
                <c:pt idx="23">
                  <c:v>-0.24704363669361618</c:v>
                </c:pt>
                <c:pt idx="24">
                  <c:v>-0.38460898510074526</c:v>
                </c:pt>
                <c:pt idx="25">
                  <c:v>-0.2748419446169153</c:v>
                </c:pt>
                <c:pt idx="26">
                  <c:v>-0.41238610266576309</c:v>
                </c:pt>
                <c:pt idx="27">
                  <c:v>-0.39172612514771515</c:v>
                </c:pt>
                <c:pt idx="28">
                  <c:v>-0.36116275023106498</c:v>
                </c:pt>
                <c:pt idx="29">
                  <c:v>-0.46126981043549725</c:v>
                </c:pt>
                <c:pt idx="30">
                  <c:v>0.1343041825524327</c:v>
                </c:pt>
                <c:pt idx="31">
                  <c:v>0.29198298044236098</c:v>
                </c:pt>
                <c:pt idx="32">
                  <c:v>-0.3674521374952463</c:v>
                </c:pt>
                <c:pt idx="33">
                  <c:v>-0.30606696887146917</c:v>
                </c:pt>
                <c:pt idx="34">
                  <c:v>-0.43940487080637514</c:v>
                </c:pt>
                <c:pt idx="35">
                  <c:v>-0.8049368736731336</c:v>
                </c:pt>
                <c:pt idx="36">
                  <c:v>-0.74273081064249269</c:v>
                </c:pt>
                <c:pt idx="37">
                  <c:v>-8.2183367463268056E-2</c:v>
                </c:pt>
                <c:pt idx="38">
                  <c:v>-0.30423871249359774</c:v>
                </c:pt>
                <c:pt idx="39">
                  <c:v>0.28268873544453782</c:v>
                </c:pt>
                <c:pt idx="40">
                  <c:v>-0.34011190368997546</c:v>
                </c:pt>
                <c:pt idx="41">
                  <c:v>2.5449564066248532E-2</c:v>
                </c:pt>
                <c:pt idx="42">
                  <c:v>-0.6306298950599204</c:v>
                </c:pt>
                <c:pt idx="43">
                  <c:v>-0.73581197750462801</c:v>
                </c:pt>
                <c:pt idx="44">
                  <c:v>-0.10870589663932788</c:v>
                </c:pt>
                <c:pt idx="45">
                  <c:v>4.7480912172680578E-2</c:v>
                </c:pt>
                <c:pt idx="46">
                  <c:v>0.13158390991230037</c:v>
                </c:pt>
                <c:pt idx="47">
                  <c:v>0.16580290133506431</c:v>
                </c:pt>
                <c:pt idx="48">
                  <c:v>0.66342523947115162</c:v>
                </c:pt>
                <c:pt idx="49">
                  <c:v>0.78150501269594908</c:v>
                </c:pt>
              </c:numCache>
            </c:numRef>
          </c:val>
        </c:ser>
        <c:ser>
          <c:idx val="1"/>
          <c:order val="1"/>
          <c:spPr>
            <a:solidFill>
              <a:srgbClr val="FF0000"/>
            </a:solidFill>
            <a:ln w="12700">
              <a:solidFill>
                <a:srgbClr val="000000"/>
              </a:solidFill>
              <a:prstDash val="solid"/>
            </a:ln>
          </c:spPr>
          <c:invertIfNegative val="0"/>
          <c:cat>
            <c:numRef>
              <c:f>'Age1.2'!$O$4:$O$53</c:f>
              <c:numCache>
                <c:formatCode>General</c:formatCode>
                <c:ptCount val="50"/>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numCache>
            </c:numRef>
          </c:cat>
          <c:val>
            <c:numRef>
              <c:f>'Age1.2'!$V$4:$V$54</c:f>
              <c:numCache>
                <c:formatCode>General</c:formatCode>
                <c:ptCount val="51"/>
              </c:numCache>
            </c:numRef>
          </c:val>
        </c:ser>
        <c:dLbls>
          <c:showLegendKey val="0"/>
          <c:showVal val="0"/>
          <c:showCatName val="0"/>
          <c:showSerName val="0"/>
          <c:showPercent val="0"/>
          <c:showBubbleSize val="0"/>
        </c:dLbls>
        <c:gapWidth val="0"/>
        <c:overlap val="63"/>
        <c:axId val="351372800"/>
        <c:axId val="351374336"/>
      </c:barChart>
      <c:catAx>
        <c:axId val="351372800"/>
        <c:scaling>
          <c:orientation val="minMax"/>
        </c:scaling>
        <c:delete val="0"/>
        <c:axPos val="b"/>
        <c:numFmt formatCode="General" sourceLinked="1"/>
        <c:majorTickMark val="out"/>
        <c:minorTickMark val="none"/>
        <c:tickLblPos val="low"/>
        <c:spPr>
          <a:ln w="3175">
            <a:solidFill>
              <a:srgbClr val="000000"/>
            </a:solidFill>
            <a:prstDash val="solid"/>
          </a:ln>
        </c:spPr>
        <c:txPr>
          <a:bodyPr rot="-5400000" vert="horz"/>
          <a:lstStyle/>
          <a:p>
            <a:pPr>
              <a:defRPr sz="1000" b="0" i="0" u="none" strike="noStrike" baseline="0">
                <a:solidFill>
                  <a:srgbClr val="000000"/>
                </a:solidFill>
                <a:latin typeface="Times New Roman"/>
                <a:ea typeface="Times New Roman"/>
                <a:cs typeface="Times New Roman"/>
              </a:defRPr>
            </a:pPr>
            <a:endParaRPr lang="en-US"/>
          </a:p>
        </c:txPr>
        <c:crossAx val="351374336"/>
        <c:crosses val="autoZero"/>
        <c:auto val="1"/>
        <c:lblAlgn val="ctr"/>
        <c:lblOffset val="100"/>
        <c:tickLblSkip val="2"/>
        <c:tickMarkSkip val="1"/>
        <c:noMultiLvlLbl val="0"/>
      </c:catAx>
      <c:valAx>
        <c:axId val="351374336"/>
        <c:scaling>
          <c:orientation val="minMax"/>
        </c:scaling>
        <c:delete val="0"/>
        <c:axPos val="l"/>
        <c:majorGridlines>
          <c:spPr>
            <a:ln w="3175">
              <a:solidFill>
                <a:srgbClr val="C0C0C0"/>
              </a:solidFill>
              <a:prstDash val="sysDash"/>
            </a:ln>
          </c:spPr>
        </c:majorGridlines>
        <c:title>
          <c:tx>
            <c:rich>
              <a:bodyPr/>
              <a:lstStyle/>
              <a:p>
                <a:pPr>
                  <a:defRPr sz="1400" b="1" i="0" u="none" strike="noStrike" baseline="0">
                    <a:solidFill>
                      <a:srgbClr val="000000"/>
                    </a:solidFill>
                    <a:latin typeface="Times New Roman"/>
                    <a:ea typeface="Times New Roman"/>
                    <a:cs typeface="Times New Roman"/>
                  </a:defRPr>
                </a:pPr>
                <a:r>
                  <a:rPr lang="en-US"/>
                  <a:t>% difference </a:t>
                </a:r>
              </a:p>
            </c:rich>
          </c:tx>
          <c:layout>
            <c:manualLayout>
              <c:xMode val="edge"/>
              <c:yMode val="edge"/>
              <c:x val="3.0095759233926132E-2"/>
              <c:y val="0.24015748031496198"/>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351372800"/>
        <c:crosses val="autoZero"/>
        <c:crossBetween val="between"/>
        <c:majorUnit val="0.25"/>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14983713355049"/>
          <c:y val="0.10077557524669768"/>
          <c:w val="0.82084690553745931"/>
          <c:h val="0.72480894504354865"/>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1.9077175613634614E-2"/>
                  <c:y val="0.39317707379600808"/>
                </c:manualLayout>
              </c:layout>
              <c:numFmt formatCode="General" sourceLinked="0"/>
              <c:spPr>
                <a:noFill/>
                <a:ln w="25400">
                  <a:noFill/>
                </a:ln>
              </c:spPr>
              <c:txPr>
                <a:bodyPr/>
                <a:lstStyle/>
                <a:p>
                  <a:pPr>
                    <a:defRPr sz="1000" b="0" i="0" u="none" strike="noStrike" baseline="0">
                      <a:solidFill>
                        <a:srgbClr val="000000"/>
                      </a:solidFill>
                      <a:latin typeface="Times New Roman"/>
                      <a:ea typeface="Times New Roman"/>
                      <a:cs typeface="Times New Roman"/>
                    </a:defRPr>
                  </a:pPr>
                  <a:endParaRPr lang="en-US"/>
                </a:p>
              </c:txPr>
            </c:trendlineLbl>
          </c:trendline>
          <c:xVal>
            <c:numRef>
              <c:f>'Age1.3'!$B$6:$B$54</c:f>
              <c:numCache>
                <c:formatCode>#,##0</c:formatCode>
                <c:ptCount val="49"/>
                <c:pt idx="0">
                  <c:v>179040.49850974398</c:v>
                </c:pt>
                <c:pt idx="1">
                  <c:v>102401.66367310109</c:v>
                </c:pt>
                <c:pt idx="2">
                  <c:v>97592.469650151805</c:v>
                </c:pt>
                <c:pt idx="3">
                  <c:v>290718.45227450889</c:v>
                </c:pt>
                <c:pt idx="4">
                  <c:v>386377.08528941998</c:v>
                </c:pt>
                <c:pt idx="5">
                  <c:v>302159.62071066484</c:v>
                </c:pt>
                <c:pt idx="6">
                  <c:v>97321.711125474932</c:v>
                </c:pt>
                <c:pt idx="7">
                  <c:v>145881.52486171451</c:v>
                </c:pt>
                <c:pt idx="8">
                  <c:v>101514.29846521815</c:v>
                </c:pt>
                <c:pt idx="9">
                  <c:v>83934.462420078504</c:v>
                </c:pt>
                <c:pt idx="10">
                  <c:v>48348.917227885802</c:v>
                </c:pt>
                <c:pt idx="11">
                  <c:v>140037.97254138521</c:v>
                </c:pt>
                <c:pt idx="12">
                  <c:v>30330.912651635219</c:v>
                </c:pt>
                <c:pt idx="13">
                  <c:v>154457.91935439411</c:v>
                </c:pt>
                <c:pt idx="14">
                  <c:v>68722.812745743839</c:v>
                </c:pt>
                <c:pt idx="15">
                  <c:v>173715.68474284798</c:v>
                </c:pt>
                <c:pt idx="16">
                  <c:v>135148.94242353513</c:v>
                </c:pt>
                <c:pt idx="17">
                  <c:v>359995.48750384717</c:v>
                </c:pt>
                <c:pt idx="18">
                  <c:v>346502.19282529014</c:v>
                </c:pt>
                <c:pt idx="19">
                  <c:v>203458.33386630402</c:v>
                </c:pt>
                <c:pt idx="20">
                  <c:v>157083.49997006214</c:v>
                </c:pt>
                <c:pt idx="21">
                  <c:v>292198.40738779912</c:v>
                </c:pt>
                <c:pt idx="22">
                  <c:v>113889.25746653602</c:v>
                </c:pt>
                <c:pt idx="23">
                  <c:v>294557.28228182066</c:v>
                </c:pt>
                <c:pt idx="24">
                  <c:v>240741.58041960336</c:v>
                </c:pt>
                <c:pt idx="25">
                  <c:v>283682.55642391811</c:v>
                </c:pt>
                <c:pt idx="26">
                  <c:v>229875.14425105081</c:v>
                </c:pt>
                <c:pt idx="27">
                  <c:v>237957.34811608869</c:v>
                </c:pt>
                <c:pt idx="28">
                  <c:v>249913.77094685714</c:v>
                </c:pt>
                <c:pt idx="29">
                  <c:v>210751.78888782303</c:v>
                </c:pt>
                <c:pt idx="30">
                  <c:v>443740.93051869422</c:v>
                </c:pt>
                <c:pt idx="31">
                  <c:v>505425.03393203206</c:v>
                </c:pt>
                <c:pt idx="32">
                  <c:v>247453.35635972215</c:v>
                </c:pt>
                <c:pt idx="33">
                  <c:v>271467.29571051238</c:v>
                </c:pt>
                <c:pt idx="34">
                  <c:v>219305.37513567525</c:v>
                </c:pt>
                <c:pt idx="35">
                  <c:v>76308.890082196463</c:v>
                </c:pt>
                <c:pt idx="36">
                  <c:v>100643.96414584623</c:v>
                </c:pt>
                <c:pt idx="37">
                  <c:v>359050.78446500207</c:v>
                </c:pt>
                <c:pt idx="38">
                  <c:v>272182.51143379207</c:v>
                </c:pt>
                <c:pt idx="39">
                  <c:v>501789.11599463865</c:v>
                </c:pt>
                <c:pt idx="40">
                  <c:v>258148.88316457791</c:v>
                </c:pt>
                <c:pt idx="41">
                  <c:v>401156.89491228049</c:v>
                </c:pt>
                <c:pt idx="42">
                  <c:v>144497.9544226641</c:v>
                </c:pt>
                <c:pt idx="43">
                  <c:v>103350.61858821202</c:v>
                </c:pt>
                <c:pt idx="44">
                  <c:v>348675.14452879829</c:v>
                </c:pt>
                <c:pt idx="45">
                  <c:v>409775.58032286481</c:v>
                </c:pt>
                <c:pt idx="46">
                  <c:v>442676.75714160182</c:v>
                </c:pt>
                <c:pt idx="47">
                  <c:v>456063.26080517849</c:v>
                </c:pt>
                <c:pt idx="48">
                  <c:v>650733.61710635398</c:v>
                </c:pt>
              </c:numCache>
            </c:numRef>
          </c:xVal>
          <c:yVal>
            <c:numRef>
              <c:f>'Age1.3'!$C$6:$C$54</c:f>
              <c:numCache>
                <c:formatCode>#,##0</c:formatCode>
                <c:ptCount val="49"/>
                <c:pt idx="0">
                  <c:v>1182522.7542456505</c:v>
                </c:pt>
                <c:pt idx="1">
                  <c:v>560800.76741469896</c:v>
                </c:pt>
                <c:pt idx="2">
                  <c:v>491920.16191207559</c:v>
                </c:pt>
                <c:pt idx="3">
                  <c:v>836133.8820333922</c:v>
                </c:pt>
                <c:pt idx="4">
                  <c:v>1126848.439217363</c:v>
                </c:pt>
                <c:pt idx="5">
                  <c:v>886578.61449924554</c:v>
                </c:pt>
                <c:pt idx="6">
                  <c:v>707854.19432154007</c:v>
                </c:pt>
                <c:pt idx="7">
                  <c:v>592986.4878251045</c:v>
                </c:pt>
                <c:pt idx="8">
                  <c:v>638486.34876982134</c:v>
                </c:pt>
                <c:pt idx="9">
                  <c:v>346614.00262167363</c:v>
                </c:pt>
                <c:pt idx="10">
                  <c:v>940919.76351097296</c:v>
                </c:pt>
                <c:pt idx="11">
                  <c:v>846188.38728043251</c:v>
                </c:pt>
                <c:pt idx="12">
                  <c:v>297364.96532358415</c:v>
                </c:pt>
                <c:pt idx="13">
                  <c:v>442734.39909796033</c:v>
                </c:pt>
                <c:pt idx="14">
                  <c:v>410835.62987088464</c:v>
                </c:pt>
                <c:pt idx="15">
                  <c:v>897075.92530656559</c:v>
                </c:pt>
                <c:pt idx="16">
                  <c:v>1351823.9406582871</c:v>
                </c:pt>
                <c:pt idx="17">
                  <c:v>817109.74979398493</c:v>
                </c:pt>
                <c:pt idx="18">
                  <c:v>1424421.7932741994</c:v>
                </c:pt>
                <c:pt idx="19">
                  <c:v>1044206.836082815</c:v>
                </c:pt>
                <c:pt idx="20">
                  <c:v>729707.86718836357</c:v>
                </c:pt>
                <c:pt idx="21">
                  <c:v>1361112.3412895144</c:v>
                </c:pt>
                <c:pt idx="22">
                  <c:v>536879.18023254443</c:v>
                </c:pt>
                <c:pt idx="23">
                  <c:v>1012944.0742998301</c:v>
                </c:pt>
                <c:pt idx="24">
                  <c:v>641426.45512191299</c:v>
                </c:pt>
                <c:pt idx="25">
                  <c:v>1292395.1381037389</c:v>
                </c:pt>
                <c:pt idx="26">
                  <c:v>1075295.1477904324</c:v>
                </c:pt>
                <c:pt idx="27">
                  <c:v>1329979.1552080857</c:v>
                </c:pt>
                <c:pt idx="28">
                  <c:v>1332570.2372110838</c:v>
                </c:pt>
                <c:pt idx="29">
                  <c:v>1060308.8407004261</c:v>
                </c:pt>
                <c:pt idx="30">
                  <c:v>1989184.4640360922</c:v>
                </c:pt>
                <c:pt idx="31">
                  <c:v>2415249.6642813412</c:v>
                </c:pt>
                <c:pt idx="32">
                  <c:v>1112912.7648551823</c:v>
                </c:pt>
                <c:pt idx="33">
                  <c:v>1216630.2738301605</c:v>
                </c:pt>
                <c:pt idx="34">
                  <c:v>929769.82433363562</c:v>
                </c:pt>
                <c:pt idx="35">
                  <c:v>1671044.5816115239</c:v>
                </c:pt>
                <c:pt idx="36">
                  <c:v>1250886.8726059287</c:v>
                </c:pt>
                <c:pt idx="37">
                  <c:v>1379966.5856725546</c:v>
                </c:pt>
                <c:pt idx="38">
                  <c:v>996194.75347909459</c:v>
                </c:pt>
                <c:pt idx="39">
                  <c:v>1434375.124038063</c:v>
                </c:pt>
                <c:pt idx="40">
                  <c:v>1472393.5551385009</c:v>
                </c:pt>
                <c:pt idx="41">
                  <c:v>2281728.634522045</c:v>
                </c:pt>
                <c:pt idx="42">
                  <c:v>796157.21431067027</c:v>
                </c:pt>
                <c:pt idx="43">
                  <c:v>940457.62252988853</c:v>
                </c:pt>
                <c:pt idx="44">
                  <c:v>730494.56928830943</c:v>
                </c:pt>
                <c:pt idx="45">
                  <c:v>1832418.5211423838</c:v>
                </c:pt>
                <c:pt idx="46">
                  <c:v>2079282.070390793</c:v>
                </c:pt>
                <c:pt idx="47">
                  <c:v>1478040.9578396173</c:v>
                </c:pt>
                <c:pt idx="48">
                  <c:v>1875957.0948617512</c:v>
                </c:pt>
              </c:numCache>
            </c:numRef>
          </c:yVal>
          <c:smooth val="0"/>
        </c:ser>
        <c:dLbls>
          <c:showLegendKey val="0"/>
          <c:showVal val="0"/>
          <c:showCatName val="0"/>
          <c:showSerName val="0"/>
          <c:showPercent val="0"/>
          <c:showBubbleSize val="0"/>
        </c:dLbls>
        <c:axId val="351790976"/>
        <c:axId val="351792512"/>
      </c:scatterChart>
      <c:valAx>
        <c:axId val="351790976"/>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351792512"/>
        <c:crosses val="autoZero"/>
        <c:crossBetween val="midCat"/>
      </c:valAx>
      <c:valAx>
        <c:axId val="351792512"/>
        <c:scaling>
          <c:orientation val="minMax"/>
        </c:scaling>
        <c:delete val="0"/>
        <c:axPos val="l"/>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351790976"/>
        <c:crosses val="autoZero"/>
        <c:crossBetween val="midCat"/>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8048904422167859E-2"/>
          <c:y val="0.10038628963993432"/>
          <c:w val="0.87967619359152238"/>
          <c:h val="0.72587009431953309"/>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0.21538527196295584"/>
                  <c:y val="-0.12582900110459166"/>
                </c:manualLayout>
              </c:layout>
              <c:numFmt formatCode="General" sourceLinked="0"/>
              <c:spPr>
                <a:noFill/>
                <a:ln w="25400">
                  <a:noFill/>
                </a:ln>
              </c:spPr>
              <c:txPr>
                <a:bodyPr/>
                <a:lstStyle/>
                <a:p>
                  <a:pPr>
                    <a:defRPr sz="1000" b="0" i="0" u="none" strike="noStrike" baseline="0">
                      <a:solidFill>
                        <a:srgbClr val="000000"/>
                      </a:solidFill>
                      <a:latin typeface="Times New Roman"/>
                      <a:ea typeface="Times New Roman"/>
                      <a:cs typeface="Times New Roman"/>
                    </a:defRPr>
                  </a:pPr>
                  <a:endParaRPr lang="en-US"/>
                </a:p>
              </c:txPr>
            </c:trendlineLbl>
          </c:trendline>
          <c:xVal>
            <c:numRef>
              <c:f>'Age1.3'!$D$6:$D$54</c:f>
              <c:numCache>
                <c:formatCode>General</c:formatCode>
                <c:ptCount val="49"/>
                <c:pt idx="0">
                  <c:v>12.095367307890312</c:v>
                </c:pt>
                <c:pt idx="1">
                  <c:v>11.536658238263195</c:v>
                </c:pt>
                <c:pt idx="2">
                  <c:v>11.488555614200711</c:v>
                </c:pt>
                <c:pt idx="3">
                  <c:v>12.580110559849002</c:v>
                </c:pt>
                <c:pt idx="4">
                  <c:v>12.864569076480791</c:v>
                </c:pt>
                <c:pt idx="5">
                  <c:v>12.618710702125638</c:v>
                </c:pt>
                <c:pt idx="6">
                  <c:v>11.485777379207695</c:v>
                </c:pt>
                <c:pt idx="7">
                  <c:v>11.890550097717687</c:v>
                </c:pt>
                <c:pt idx="8">
                  <c:v>11.527954939121013</c:v>
                </c:pt>
                <c:pt idx="9">
                  <c:v>11.337791564019003</c:v>
                </c:pt>
                <c:pt idx="10">
                  <c:v>10.786199106171235</c:v>
                </c:pt>
                <c:pt idx="11">
                  <c:v>11.849668897253039</c:v>
                </c:pt>
                <c:pt idx="12">
                  <c:v>10.319922690953129</c:v>
                </c:pt>
                <c:pt idx="13">
                  <c:v>11.947676971583181</c:v>
                </c:pt>
                <c:pt idx="14">
                  <c:v>11.137836486346464</c:v>
                </c:pt>
                <c:pt idx="15">
                  <c:v>12.065175246038875</c:v>
                </c:pt>
                <c:pt idx="16">
                  <c:v>11.814132726468909</c:v>
                </c:pt>
                <c:pt idx="17">
                  <c:v>12.793846775642196</c:v>
                </c:pt>
                <c:pt idx="18">
                  <c:v>12.755644426092186</c:v>
                </c:pt>
                <c:pt idx="19">
                  <c:v>12.223216515315409</c:v>
                </c:pt>
                <c:pt idx="20">
                  <c:v>11.964532789893058</c:v>
                </c:pt>
                <c:pt idx="21">
                  <c:v>12.585188327865673</c:v>
                </c:pt>
                <c:pt idx="22">
                  <c:v>11.642981829504725</c:v>
                </c:pt>
                <c:pt idx="23">
                  <c:v>12.593228770058985</c:v>
                </c:pt>
                <c:pt idx="24">
                  <c:v>12.391479356752267</c:v>
                </c:pt>
                <c:pt idx="25">
                  <c:v>12.555611132914068</c:v>
                </c:pt>
                <c:pt idx="26">
                  <c:v>12.345291589425951</c:v>
                </c:pt>
                <c:pt idx="27">
                  <c:v>12.379846726997387</c:v>
                </c:pt>
                <c:pt idx="28">
                  <c:v>12.428871221134534</c:v>
                </c:pt>
                <c:pt idx="29">
                  <c:v>12.258436364026526</c:v>
                </c:pt>
                <c:pt idx="30">
                  <c:v>13.002996181295167</c:v>
                </c:pt>
                <c:pt idx="31">
                  <c:v>13.133155005618168</c:v>
                </c:pt>
                <c:pt idx="32">
                  <c:v>12.418977384077587</c:v>
                </c:pt>
                <c:pt idx="33">
                  <c:v>12.511596953312337</c:v>
                </c:pt>
                <c:pt idx="34">
                  <c:v>12.2982204445282</c:v>
                </c:pt>
                <c:pt idx="35">
                  <c:v>11.24254472532397</c:v>
                </c:pt>
                <c:pt idx="36">
                  <c:v>11.519344460525044</c:v>
                </c:pt>
                <c:pt idx="37">
                  <c:v>12.791219118371064</c:v>
                </c:pt>
                <c:pt idx="38">
                  <c:v>12.514228118178037</c:v>
                </c:pt>
                <c:pt idx="39">
                  <c:v>13.125935222752243</c:v>
                </c:pt>
                <c:pt idx="40">
                  <c:v>12.461291763994264</c:v>
                </c:pt>
                <c:pt idx="41">
                  <c:v>12.90210788889968</c:v>
                </c:pt>
                <c:pt idx="42">
                  <c:v>11.881020630189884</c:v>
                </c:pt>
                <c:pt idx="43">
                  <c:v>11.545882550464155</c:v>
                </c:pt>
                <c:pt idx="44">
                  <c:v>12.761895949735445</c:v>
                </c:pt>
                <c:pt idx="45">
                  <c:v>12.923364923755361</c:v>
                </c:pt>
                <c:pt idx="46">
                  <c:v>13.000595114838205</c:v>
                </c:pt>
                <c:pt idx="47">
                  <c:v>13.030386808710347</c:v>
                </c:pt>
                <c:pt idx="48">
                  <c:v>13.385855647136685</c:v>
                </c:pt>
              </c:numCache>
            </c:numRef>
          </c:xVal>
          <c:yVal>
            <c:numRef>
              <c:f>'Age1.3'!$E$6:$E$54</c:f>
              <c:numCache>
                <c:formatCode>General</c:formatCode>
                <c:ptCount val="49"/>
                <c:pt idx="0">
                  <c:v>13.983160641654127</c:v>
                </c:pt>
                <c:pt idx="1">
                  <c:v>13.237120983130074</c:v>
                </c:pt>
                <c:pt idx="2">
                  <c:v>13.106071709770401</c:v>
                </c:pt>
                <c:pt idx="3">
                  <c:v>13.636544025217798</c:v>
                </c:pt>
                <c:pt idx="4">
                  <c:v>13.934935302361204</c:v>
                </c:pt>
                <c:pt idx="5">
                  <c:v>13.695125080202772</c:v>
                </c:pt>
                <c:pt idx="6">
                  <c:v>13.469993411243443</c:v>
                </c:pt>
                <c:pt idx="7">
                  <c:v>13.292926891590582</c:v>
                </c:pt>
                <c:pt idx="8">
                  <c:v>13.366855574069275</c:v>
                </c:pt>
                <c:pt idx="9">
                  <c:v>12.755967055394713</c:v>
                </c:pt>
                <c:pt idx="10">
                  <c:v>13.754613147674856</c:v>
                </c:pt>
                <c:pt idx="11">
                  <c:v>13.648497293799361</c:v>
                </c:pt>
                <c:pt idx="12">
                  <c:v>12.602715502852924</c:v>
                </c:pt>
                <c:pt idx="13">
                  <c:v>13.000725318656022</c:v>
                </c:pt>
                <c:pt idx="14">
                  <c:v>12.925948486164664</c:v>
                </c:pt>
                <c:pt idx="15">
                  <c:v>13.706895781055929</c:v>
                </c:pt>
                <c:pt idx="16">
                  <c:v>14.11696530569891</c:v>
                </c:pt>
                <c:pt idx="17">
                  <c:v>13.613528697493491</c:v>
                </c:pt>
                <c:pt idx="18">
                  <c:v>14.169276530236562</c:v>
                </c:pt>
                <c:pt idx="19">
                  <c:v>13.858768146655043</c:v>
                </c:pt>
                <c:pt idx="20">
                  <c:v>13.500399551096667</c:v>
                </c:pt>
                <c:pt idx="21">
                  <c:v>14.123812821422923</c:v>
                </c:pt>
                <c:pt idx="22">
                  <c:v>13.193528357920927</c:v>
                </c:pt>
                <c:pt idx="23">
                  <c:v>13.828371573710584</c:v>
                </c:pt>
                <c:pt idx="24">
                  <c:v>13.37144981129318</c:v>
                </c:pt>
                <c:pt idx="25">
                  <c:v>14.072007751012482</c:v>
                </c:pt>
                <c:pt idx="26">
                  <c:v>13.888105737944398</c:v>
                </c:pt>
                <c:pt idx="27">
                  <c:v>14.100673827299241</c:v>
                </c:pt>
                <c:pt idx="28">
                  <c:v>14.102620144485565</c:v>
                </c:pt>
                <c:pt idx="29">
                  <c:v>13.874070782802761</c:v>
                </c:pt>
                <c:pt idx="30">
                  <c:v>14.50323529563542</c:v>
                </c:pt>
                <c:pt idx="31">
                  <c:v>14.697313220380199</c:v>
                </c:pt>
                <c:pt idx="32">
                  <c:v>13.922491248798858</c:v>
                </c:pt>
                <c:pt idx="33">
                  <c:v>14.011595524522779</c:v>
                </c:pt>
                <c:pt idx="34">
                  <c:v>13.74269233377956</c:v>
                </c:pt>
                <c:pt idx="35">
                  <c:v>14.32895948682159</c:v>
                </c:pt>
                <c:pt idx="36">
                  <c:v>14.039363355788447</c:v>
                </c:pt>
                <c:pt idx="37">
                  <c:v>14.137569843559483</c:v>
                </c:pt>
                <c:pt idx="38">
                  <c:v>13.811698053073718</c:v>
                </c:pt>
                <c:pt idx="39">
                  <c:v>14.176239858706381</c:v>
                </c:pt>
                <c:pt idx="40">
                  <c:v>14.202399903364208</c:v>
                </c:pt>
                <c:pt idx="41">
                  <c:v>14.640443886698622</c:v>
                </c:pt>
                <c:pt idx="42">
                  <c:v>13.587551950740307</c:v>
                </c:pt>
                <c:pt idx="43">
                  <c:v>13.754121868260308</c:v>
                </c:pt>
                <c:pt idx="44">
                  <c:v>13.501477075906118</c:v>
                </c:pt>
                <c:pt idx="45">
                  <c:v>14.421147248530623</c:v>
                </c:pt>
                <c:pt idx="46">
                  <c:v>14.547533233630642</c:v>
                </c:pt>
                <c:pt idx="47">
                  <c:v>14.206228091770475</c:v>
                </c:pt>
                <c:pt idx="48">
                  <c:v>14.444629537743996</c:v>
                </c:pt>
              </c:numCache>
            </c:numRef>
          </c:yVal>
          <c:smooth val="0"/>
        </c:ser>
        <c:dLbls>
          <c:showLegendKey val="0"/>
          <c:showVal val="0"/>
          <c:showCatName val="0"/>
          <c:showSerName val="0"/>
          <c:showPercent val="0"/>
          <c:showBubbleSize val="0"/>
        </c:dLbls>
        <c:axId val="351673728"/>
        <c:axId val="351691904"/>
      </c:scatterChart>
      <c:valAx>
        <c:axId val="351673728"/>
        <c:scaling>
          <c:orientation val="minMax"/>
          <c:min val="1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351691904"/>
        <c:crosses val="autoZero"/>
        <c:crossBetween val="midCat"/>
      </c:valAx>
      <c:valAx>
        <c:axId val="351691904"/>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351673728"/>
        <c:crosses val="autoZero"/>
        <c:crossBetween val="midCat"/>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Times New Roman"/>
                <a:ea typeface="Times New Roman"/>
                <a:cs typeface="Times New Roman"/>
              </a:defRPr>
            </a:pPr>
            <a:r>
              <a:rPr lang="en-US"/>
              <a:t>Copper River sockeye salmon Age 1.3</a:t>
            </a:r>
          </a:p>
        </c:rich>
      </c:tx>
      <c:layout>
        <c:manualLayout>
          <c:xMode val="edge"/>
          <c:yMode val="edge"/>
          <c:x val="0.32284541723666604"/>
          <c:y val="3.937007874015748E-2"/>
        </c:manualLayout>
      </c:layout>
      <c:overlay val="0"/>
      <c:spPr>
        <a:noFill/>
        <a:ln w="25400">
          <a:noFill/>
        </a:ln>
      </c:spPr>
    </c:title>
    <c:autoTitleDeleted val="0"/>
    <c:plotArea>
      <c:layout>
        <c:manualLayout>
          <c:layoutTarget val="inner"/>
          <c:xMode val="edge"/>
          <c:yMode val="edge"/>
          <c:x val="0.17373461012311903"/>
          <c:y val="0.1299212598425197"/>
          <c:w val="0.80711354309164951"/>
          <c:h val="0.67322834645669871"/>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dLbls>
            <c:dLbl>
              <c:idx val="0"/>
              <c:delete val="1"/>
            </c:dLbl>
            <c:dLbl>
              <c:idx val="1"/>
              <c:delete val="1"/>
            </c:dLbl>
            <c:dLbl>
              <c:idx val="2"/>
              <c:layout>
                <c:manualLayout>
                  <c:x val="-2.4623803009575923E-2"/>
                  <c:y val="5.905511811023622E-2"/>
                </c:manualLayout>
              </c:layout>
              <c:tx>
                <c:strRef>
                  <c:f>'Age1.3'!$Q$6</c:f>
                  <c:strCache>
                    <c:ptCount val="1"/>
                    <c:pt idx="0">
                      <c:v>43 </c:v>
                    </c:pt>
                  </c:strCache>
                </c:strRef>
              </c:tx>
              <c:dLblPos val="r"/>
              <c:showLegendKey val="0"/>
              <c:showVal val="1"/>
              <c:showCatName val="0"/>
              <c:showSerName val="0"/>
              <c:showPercent val="0"/>
              <c:showBubbleSize val="0"/>
            </c:dLbl>
            <c:dLbl>
              <c:idx val="3"/>
              <c:delete val="1"/>
            </c:dLbl>
            <c:dLbl>
              <c:idx val="4"/>
              <c:layout>
                <c:manualLayout>
                  <c:x val="-4.1039671682626538E-2"/>
                  <c:y val="-9.1863517060367453E-3"/>
                </c:manualLayout>
              </c:layout>
              <c:tx>
                <c:strRef>
                  <c:f>'Age1.3'!$Q$8</c:f>
                  <c:strCache>
                    <c:ptCount val="1"/>
                    <c:pt idx="0">
                      <c:v>19 </c:v>
                    </c:pt>
                  </c:strCache>
                </c:strRef>
              </c:tx>
              <c:dLblPos val="r"/>
              <c:showLegendKey val="0"/>
              <c:showVal val="1"/>
              <c:showCatName val="0"/>
              <c:showSerName val="0"/>
              <c:showPercent val="0"/>
              <c:showBubbleSize val="0"/>
            </c:dLbl>
            <c:dLbl>
              <c:idx val="5"/>
              <c:delete val="1"/>
            </c:dLbl>
            <c:dLbl>
              <c:idx val="6"/>
              <c:tx>
                <c:strRef>
                  <c:f>'Age1.3'!$Q$10</c:f>
                  <c:strCache>
                    <c:ptCount val="1"/>
                    <c:pt idx="0">
                      <c:v>37 </c:v>
                    </c:pt>
                  </c:strCache>
                </c:strRef>
              </c:tx>
              <c:dLblPos val="t"/>
              <c:showLegendKey val="0"/>
              <c:showVal val="1"/>
              <c:showCatName val="0"/>
              <c:showSerName val="0"/>
              <c:showPercent val="0"/>
              <c:showBubbleSize val="0"/>
            </c:dLbl>
            <c:dLbl>
              <c:idx val="7"/>
              <c:delete val="1"/>
            </c:dLbl>
            <c:dLbl>
              <c:idx val="8"/>
              <c:tx>
                <c:strRef>
                  <c:f>'Age1.3'!$Q$12</c:f>
                  <c:strCache>
                    <c:ptCount val="1"/>
                    <c:pt idx="0">
                      <c:v>39 </c:v>
                    </c:pt>
                  </c:strCache>
                </c:strRef>
              </c:tx>
              <c:dLblPos val="t"/>
              <c:showLegendKey val="0"/>
              <c:showVal val="1"/>
              <c:showCatName val="0"/>
              <c:showSerName val="0"/>
              <c:showPercent val="0"/>
              <c:showBubbleSize val="0"/>
            </c:dLbl>
            <c:dLbl>
              <c:idx val="9"/>
              <c:layout>
                <c:manualLayout>
                  <c:x val="-2.4623803009575923E-2"/>
                  <c:y val="3.280839895013133E-2"/>
                </c:manualLayout>
              </c:layout>
              <c:tx>
                <c:strRef>
                  <c:f>'Age1.3'!$Q$13</c:f>
                  <c:strCache>
                    <c:ptCount val="1"/>
                    <c:pt idx="0">
                      <c:v>46 </c:v>
                    </c:pt>
                  </c:strCache>
                </c:strRef>
              </c:tx>
              <c:dLblPos val="r"/>
              <c:showLegendKey val="0"/>
              <c:showVal val="1"/>
              <c:showCatName val="0"/>
              <c:showSerName val="0"/>
              <c:showPercent val="0"/>
              <c:showBubbleSize val="0"/>
            </c:dLbl>
            <c:dLbl>
              <c:idx val="10"/>
              <c:tx>
                <c:strRef>
                  <c:f>'Age1.3'!$Q$14</c:f>
                  <c:strCache>
                    <c:ptCount val="1"/>
                    <c:pt idx="0">
                      <c:v>26 </c:v>
                    </c:pt>
                  </c:strCache>
                </c:strRef>
              </c:tx>
              <c:dLblPos val="t"/>
              <c:showLegendKey val="0"/>
              <c:showVal val="1"/>
              <c:showCatName val="0"/>
              <c:showSerName val="0"/>
              <c:showPercent val="0"/>
              <c:showBubbleSize val="0"/>
            </c:dLbl>
            <c:dLbl>
              <c:idx val="11"/>
              <c:delete val="1"/>
            </c:dLbl>
            <c:dLbl>
              <c:idx val="12"/>
              <c:layout>
                <c:manualLayout>
                  <c:x val="-2.4623803009575923E-2"/>
                  <c:y val="4.3307086614173325E-2"/>
                </c:manualLayout>
              </c:layout>
              <c:tx>
                <c:strRef>
                  <c:f>'Age1.3'!$Q$16</c:f>
                  <c:strCache>
                    <c:ptCount val="1"/>
                    <c:pt idx="0">
                      <c:v>47 </c:v>
                    </c:pt>
                  </c:strCache>
                </c:strRef>
              </c:tx>
              <c:dLblPos val="r"/>
              <c:showLegendKey val="0"/>
              <c:showVal val="1"/>
              <c:showCatName val="0"/>
              <c:showSerName val="0"/>
              <c:showPercent val="0"/>
              <c:showBubbleSize val="0"/>
            </c:dLbl>
            <c:dLbl>
              <c:idx val="13"/>
              <c:tx>
                <c:strRef>
                  <c:f>'Age1.3'!$Q$17</c:f>
                  <c:strCache>
                    <c:ptCount val="1"/>
                    <c:pt idx="0">
                      <c:v>44 </c:v>
                    </c:pt>
                  </c:strCache>
                </c:strRef>
              </c:tx>
              <c:dLblPos val="t"/>
              <c:showLegendKey val="0"/>
              <c:showVal val="1"/>
              <c:showCatName val="0"/>
              <c:showSerName val="0"/>
              <c:showPercent val="0"/>
              <c:showBubbleSize val="0"/>
            </c:dLbl>
            <c:dLbl>
              <c:idx val="14"/>
              <c:layout>
                <c:manualLayout>
                  <c:x val="-2.0975832193342453E-2"/>
                  <c:y val="4.3307086614173325E-2"/>
                </c:manualLayout>
              </c:layout>
              <c:tx>
                <c:strRef>
                  <c:f>'Age1.3'!$Q$18</c:f>
                  <c:strCache>
                    <c:ptCount val="1"/>
                    <c:pt idx="0">
                      <c:v>45 </c:v>
                    </c:pt>
                  </c:strCache>
                </c:strRef>
              </c:tx>
              <c:dLblPos val="r"/>
              <c:showLegendKey val="0"/>
              <c:showVal val="1"/>
              <c:showCatName val="0"/>
              <c:showSerName val="0"/>
              <c:showPercent val="0"/>
              <c:showBubbleSize val="0"/>
            </c:dLbl>
            <c:dLbl>
              <c:idx val="15"/>
              <c:delete val="1"/>
            </c:dLbl>
            <c:dLbl>
              <c:idx val="16"/>
              <c:tx>
                <c:strRef>
                  <c:f>'Age1.3'!$Q$20</c:f>
                  <c:strCache>
                    <c:ptCount val="1"/>
                    <c:pt idx="0">
                      <c:v>12 </c:v>
                    </c:pt>
                  </c:strCache>
                </c:strRef>
              </c:tx>
              <c:dLblPos val="t"/>
              <c:showLegendKey val="0"/>
              <c:showVal val="1"/>
              <c:showCatName val="0"/>
              <c:showSerName val="0"/>
              <c:showPercent val="0"/>
              <c:showBubbleSize val="0"/>
            </c:dLbl>
            <c:dLbl>
              <c:idx val="17"/>
              <c:layout>
                <c:manualLayout>
                  <c:x val="-2.0975832193342453E-2"/>
                  <c:y val="5.3805774278215222E-2"/>
                </c:manualLayout>
              </c:layout>
              <c:tx>
                <c:strRef>
                  <c:f>'Age1.3'!$Q$21</c:f>
                  <c:strCache>
                    <c:ptCount val="1"/>
                    <c:pt idx="0">
                      <c:v>33 </c:v>
                    </c:pt>
                  </c:strCache>
                </c:strRef>
              </c:tx>
              <c:dLblPos val="r"/>
              <c:showLegendKey val="0"/>
              <c:showVal val="1"/>
              <c:showCatName val="0"/>
              <c:showSerName val="0"/>
              <c:showPercent val="0"/>
              <c:showBubbleSize val="0"/>
            </c:dLbl>
            <c:dLbl>
              <c:idx val="18"/>
              <c:tx>
                <c:strRef>
                  <c:f>'Age1.3'!$Q$22</c:f>
                  <c:strCache>
                    <c:ptCount val="1"/>
                    <c:pt idx="0">
                      <c:v>9 </c:v>
                    </c:pt>
                  </c:strCache>
                </c:strRef>
              </c:tx>
              <c:dLblPos val="t"/>
              <c:showLegendKey val="0"/>
              <c:showVal val="1"/>
              <c:showCatName val="0"/>
              <c:showSerName val="0"/>
              <c:showPercent val="0"/>
              <c:showBubbleSize val="0"/>
            </c:dLbl>
            <c:dLbl>
              <c:idx val="19"/>
              <c:delete val="1"/>
            </c:dLbl>
            <c:dLbl>
              <c:idx val="20"/>
              <c:layout>
                <c:manualLayout>
                  <c:x val="-2.4623803009575923E-2"/>
                  <c:y val="4.8556430446194225E-2"/>
                </c:manualLayout>
              </c:layout>
              <c:tx>
                <c:strRef>
                  <c:f>'Age1.3'!$Q$24</c:f>
                  <c:strCache>
                    <c:ptCount val="1"/>
                    <c:pt idx="0">
                      <c:v>36 </c:v>
                    </c:pt>
                  </c:strCache>
                </c:strRef>
              </c:tx>
              <c:dLblPos val="r"/>
              <c:showLegendKey val="0"/>
              <c:showVal val="1"/>
              <c:showCatName val="0"/>
              <c:showSerName val="0"/>
              <c:showPercent val="0"/>
              <c:showBubbleSize val="0"/>
            </c:dLbl>
            <c:dLbl>
              <c:idx val="21"/>
              <c:tx>
                <c:strRef>
                  <c:f>'Age1.3'!$Q$25</c:f>
                  <c:strCache>
                    <c:ptCount val="1"/>
                    <c:pt idx="0">
                      <c:v>11 </c:v>
                    </c:pt>
                  </c:strCache>
                </c:strRef>
              </c:tx>
              <c:dLblPos val="t"/>
              <c:showLegendKey val="0"/>
              <c:showVal val="1"/>
              <c:showCatName val="0"/>
              <c:showSerName val="0"/>
              <c:showPercent val="0"/>
              <c:showBubbleSize val="0"/>
            </c:dLbl>
            <c:dLbl>
              <c:idx val="22"/>
              <c:layout>
                <c:manualLayout>
                  <c:x val="-2.4623803009575923E-2"/>
                  <c:y val="4.8556430446194225E-2"/>
                </c:manualLayout>
              </c:layout>
              <c:tx>
                <c:strRef>
                  <c:f>'Age1.3'!$Q$26</c:f>
                  <c:strCache>
                    <c:ptCount val="1"/>
                    <c:pt idx="0">
                      <c:v>42 </c:v>
                    </c:pt>
                  </c:strCache>
                </c:strRef>
              </c:tx>
              <c:dLblPos val="r"/>
              <c:showLegendKey val="0"/>
              <c:showVal val="1"/>
              <c:showCatName val="0"/>
              <c:showSerName val="0"/>
              <c:showPercent val="0"/>
              <c:showBubbleSize val="0"/>
            </c:dLbl>
            <c:dLbl>
              <c:idx val="23"/>
              <c:tx>
                <c:strRef>
                  <c:f>'Age1.3'!$Q$27</c:f>
                  <c:strCache>
                    <c:ptCount val="1"/>
                    <c:pt idx="0">
                      <c:v>24 </c:v>
                    </c:pt>
                  </c:strCache>
                </c:strRef>
              </c:tx>
              <c:dLblPos val="t"/>
              <c:showLegendKey val="0"/>
              <c:showVal val="1"/>
              <c:showCatName val="0"/>
              <c:showSerName val="0"/>
              <c:showPercent val="0"/>
              <c:showBubbleSize val="0"/>
            </c:dLbl>
            <c:dLbl>
              <c:idx val="24"/>
              <c:layout>
                <c:manualLayout>
                  <c:x val="-2.2799817601459188E-2"/>
                  <c:y val="4.8556430446194225E-2"/>
                </c:manualLayout>
              </c:layout>
              <c:tx>
                <c:strRef>
                  <c:f>'Age1.3'!$Q$28</c:f>
                  <c:strCache>
                    <c:ptCount val="1"/>
                    <c:pt idx="0">
                      <c:v>38 </c:v>
                    </c:pt>
                  </c:strCache>
                </c:strRef>
              </c:tx>
              <c:dLblPos val="r"/>
              <c:showLegendKey val="0"/>
              <c:showVal val="1"/>
              <c:showCatName val="0"/>
              <c:showSerName val="0"/>
              <c:showPercent val="0"/>
              <c:showBubbleSize val="0"/>
            </c:dLbl>
            <c:dLbl>
              <c:idx val="25"/>
              <c:delete val="1"/>
            </c:dLbl>
            <c:dLbl>
              <c:idx val="26"/>
              <c:delete val="1"/>
            </c:dLbl>
            <c:dLbl>
              <c:idx val="27"/>
              <c:delete val="1"/>
            </c:dLbl>
            <c:dLbl>
              <c:idx val="28"/>
              <c:tx>
                <c:strRef>
                  <c:f>'Age1.3'!$Q$32</c:f>
                  <c:strCache>
                    <c:ptCount val="1"/>
                    <c:pt idx="0">
                      <c:v>13 </c:v>
                    </c:pt>
                  </c:strCache>
                </c:strRef>
              </c:tx>
              <c:dLblPos val="t"/>
              <c:showLegendKey val="0"/>
              <c:showVal val="1"/>
              <c:showCatName val="0"/>
              <c:showSerName val="0"/>
              <c:showPercent val="0"/>
              <c:showBubbleSize val="0"/>
            </c:dLbl>
            <c:dLbl>
              <c:idx val="29"/>
              <c:layout>
                <c:manualLayout>
                  <c:x val="-2.4623803009575923E-2"/>
                  <c:y val="5.905511811023622E-2"/>
                </c:manualLayout>
              </c:layout>
              <c:tx>
                <c:strRef>
                  <c:f>'Age1.3'!$Q$33</c:f>
                  <c:strCache>
                    <c:ptCount val="1"/>
                    <c:pt idx="0">
                      <c:v>22 </c:v>
                    </c:pt>
                  </c:strCache>
                </c:strRef>
              </c:tx>
              <c:dLblPos val="r"/>
              <c:showLegendKey val="0"/>
              <c:showVal val="1"/>
              <c:showCatName val="0"/>
              <c:showSerName val="0"/>
              <c:showPercent val="0"/>
              <c:showBubbleSize val="0"/>
            </c:dLbl>
            <c:dLbl>
              <c:idx val="30"/>
              <c:tx>
                <c:strRef>
                  <c:f>'Age1.3'!$Q$34</c:f>
                  <c:strCache>
                    <c:ptCount val="1"/>
                    <c:pt idx="0">
                      <c:v>4 </c:v>
                    </c:pt>
                  </c:strCache>
                </c:strRef>
              </c:tx>
              <c:dLblPos val="t"/>
              <c:showLegendKey val="0"/>
              <c:showVal val="1"/>
              <c:showCatName val="0"/>
              <c:showSerName val="0"/>
              <c:showPercent val="0"/>
              <c:showBubbleSize val="0"/>
            </c:dLbl>
            <c:dLbl>
              <c:idx val="31"/>
              <c:tx>
                <c:strRef>
                  <c:f>'Age1.3'!$Q$35</c:f>
                  <c:strCache>
                    <c:ptCount val="1"/>
                    <c:pt idx="0">
                      <c:v>1 </c:v>
                    </c:pt>
                  </c:strCache>
                </c:strRef>
              </c:tx>
              <c:dLblPos val="t"/>
              <c:showLegendKey val="0"/>
              <c:showVal val="1"/>
              <c:showCatName val="0"/>
              <c:showSerName val="0"/>
              <c:showPercent val="0"/>
              <c:showBubbleSize val="0"/>
            </c:dLbl>
            <c:dLbl>
              <c:idx val="32"/>
              <c:delete val="1"/>
            </c:dLbl>
            <c:dLbl>
              <c:idx val="33"/>
              <c:delete val="1"/>
            </c:dLbl>
            <c:dLbl>
              <c:idx val="34"/>
              <c:layout>
                <c:manualLayout>
                  <c:x val="-1.9151846785225718E-2"/>
                  <c:y val="5.3805774278215222E-2"/>
                </c:manualLayout>
              </c:layout>
              <c:tx>
                <c:strRef>
                  <c:f>'Age1.3'!$Q$38</c:f>
                  <c:strCache>
                    <c:ptCount val="1"/>
                    <c:pt idx="0">
                      <c:v>28 </c:v>
                    </c:pt>
                  </c:strCache>
                </c:strRef>
              </c:tx>
              <c:dLblPos val="r"/>
              <c:showLegendKey val="0"/>
              <c:showVal val="1"/>
              <c:showCatName val="0"/>
              <c:showSerName val="0"/>
              <c:showPercent val="0"/>
              <c:showBubbleSize val="0"/>
            </c:dLbl>
            <c:dLbl>
              <c:idx val="35"/>
              <c:delete val="1"/>
            </c:dLbl>
            <c:dLbl>
              <c:idx val="36"/>
              <c:tx>
                <c:strRef>
                  <c:f>'Age1.3'!$Q$40</c:f>
                  <c:strCache>
                    <c:ptCount val="1"/>
                    <c:pt idx="0">
                      <c:v>16 </c:v>
                    </c:pt>
                  </c:strCache>
                </c:strRef>
              </c:tx>
              <c:dLblPos val="t"/>
              <c:showLegendKey val="0"/>
              <c:showVal val="1"/>
              <c:showCatName val="0"/>
              <c:showSerName val="0"/>
              <c:showPercent val="0"/>
              <c:showBubbleSize val="0"/>
            </c:dLbl>
            <c:dLbl>
              <c:idx val="37"/>
              <c:delete val="1"/>
            </c:dLbl>
            <c:dLbl>
              <c:idx val="38"/>
              <c:layout>
                <c:manualLayout>
                  <c:x val="-2.4623803009575923E-2"/>
                  <c:y val="6.4304461942257224E-2"/>
                </c:manualLayout>
              </c:layout>
              <c:tx>
                <c:strRef>
                  <c:f>'Age1.3'!$Q$42</c:f>
                  <c:strCache>
                    <c:ptCount val="1"/>
                    <c:pt idx="0">
                      <c:v>25 </c:v>
                    </c:pt>
                  </c:strCache>
                </c:strRef>
              </c:tx>
              <c:dLblPos val="r"/>
              <c:showLegendKey val="0"/>
              <c:showVal val="1"/>
              <c:showCatName val="0"/>
              <c:showSerName val="0"/>
              <c:showPercent val="0"/>
              <c:showBubbleSize val="0"/>
            </c:dLbl>
            <c:dLbl>
              <c:idx val="39"/>
              <c:delete val="1"/>
            </c:dLbl>
            <c:dLbl>
              <c:idx val="40"/>
              <c:tx>
                <c:strRef>
                  <c:f>'Age1.3'!$Q$44</c:f>
                  <c:strCache>
                    <c:ptCount val="1"/>
                    <c:pt idx="0">
                      <c:v>7 </c:v>
                    </c:pt>
                  </c:strCache>
                </c:strRef>
              </c:tx>
              <c:dLblPos val="t"/>
              <c:showLegendKey val="0"/>
              <c:showVal val="1"/>
              <c:showCatName val="0"/>
              <c:showSerName val="0"/>
              <c:showPercent val="0"/>
              <c:showBubbleSize val="0"/>
            </c:dLbl>
            <c:dLbl>
              <c:idx val="41"/>
              <c:tx>
                <c:strRef>
                  <c:f>'Age1.3'!$Q$45</c:f>
                  <c:strCache>
                    <c:ptCount val="1"/>
                    <c:pt idx="0">
                      <c:v>2 </c:v>
                    </c:pt>
                  </c:strCache>
                </c:strRef>
              </c:tx>
              <c:dLblPos val="t"/>
              <c:showLegendKey val="0"/>
              <c:showVal val="1"/>
              <c:showCatName val="0"/>
              <c:showSerName val="0"/>
              <c:showPercent val="0"/>
              <c:showBubbleSize val="0"/>
            </c:dLbl>
            <c:dLbl>
              <c:idx val="42"/>
              <c:layout>
                <c:manualLayout>
                  <c:x val="-3.0095759233926128E-2"/>
                  <c:y val="5.3805774278215222E-2"/>
                </c:manualLayout>
              </c:layout>
              <c:tx>
                <c:strRef>
                  <c:f>'Age1.3'!$Q$46</c:f>
                  <c:strCache>
                    <c:ptCount val="1"/>
                    <c:pt idx="0">
                      <c:v>34 </c:v>
                    </c:pt>
                  </c:strCache>
                </c:strRef>
              </c:tx>
              <c:dLblPos val="r"/>
              <c:showLegendKey val="0"/>
              <c:showVal val="1"/>
              <c:showCatName val="0"/>
              <c:showSerName val="0"/>
              <c:showPercent val="0"/>
              <c:showBubbleSize val="0"/>
            </c:dLbl>
            <c:dLbl>
              <c:idx val="43"/>
              <c:layout>
                <c:manualLayout>
                  <c:x val="-2.4623803009575923E-2"/>
                  <c:y val="-3.5433070866141683E-2"/>
                </c:manualLayout>
              </c:layout>
              <c:tx>
                <c:strRef>
                  <c:f>'Age1.3'!$Q$47</c:f>
                  <c:strCache>
                    <c:ptCount val="1"/>
                    <c:pt idx="0">
                      <c:v>27 </c:v>
                    </c:pt>
                  </c:strCache>
                </c:strRef>
              </c:tx>
              <c:dLblPos val="r"/>
              <c:showLegendKey val="0"/>
              <c:showVal val="1"/>
              <c:showCatName val="0"/>
              <c:showSerName val="0"/>
              <c:showPercent val="0"/>
              <c:showBubbleSize val="0"/>
            </c:dLbl>
            <c:dLbl>
              <c:idx val="44"/>
              <c:layout>
                <c:manualLayout>
                  <c:x val="-2.4623803009575923E-2"/>
                  <c:y val="6.4304461942257224E-2"/>
                </c:manualLayout>
              </c:layout>
              <c:tx>
                <c:strRef>
                  <c:f>'Age1.3'!$Q$48</c:f>
                  <c:strCache>
                    <c:ptCount val="1"/>
                    <c:pt idx="0">
                      <c:v>35 </c:v>
                    </c:pt>
                  </c:strCache>
                </c:strRef>
              </c:tx>
              <c:dLblPos val="r"/>
              <c:showLegendKey val="0"/>
              <c:showVal val="1"/>
              <c:showCatName val="0"/>
              <c:showSerName val="0"/>
              <c:showPercent val="0"/>
              <c:showBubbleSize val="0"/>
            </c:dLbl>
            <c:dLbl>
              <c:idx val="45"/>
              <c:tx>
                <c:strRef>
                  <c:f>'Age1.3'!$Q$49</c:f>
                  <c:strCache>
                    <c:ptCount val="1"/>
                    <c:pt idx="0">
                      <c:v>5 </c:v>
                    </c:pt>
                  </c:strCache>
                </c:strRef>
              </c:tx>
              <c:dLblPos val="t"/>
              <c:showLegendKey val="0"/>
              <c:showVal val="1"/>
              <c:showCatName val="0"/>
              <c:showSerName val="0"/>
              <c:showPercent val="0"/>
              <c:showBubbleSize val="0"/>
            </c:dLbl>
            <c:dLbl>
              <c:idx val="46"/>
              <c:tx>
                <c:strRef>
                  <c:f>'Age1.3'!$Q$50</c:f>
                  <c:strCache>
                    <c:ptCount val="1"/>
                    <c:pt idx="0">
                      <c:v>3 </c:v>
                    </c:pt>
                  </c:strCache>
                </c:strRef>
              </c:tx>
              <c:dLblPos val="t"/>
              <c:showLegendKey val="0"/>
              <c:showVal val="1"/>
              <c:showCatName val="0"/>
              <c:showSerName val="0"/>
              <c:showPercent val="0"/>
              <c:showBubbleSize val="0"/>
            </c:dLbl>
            <c:dLbl>
              <c:idx val="47"/>
              <c:tx>
                <c:strRef>
                  <c:f>'Age1.3'!$Q$51</c:f>
                  <c:strCache>
                    <c:ptCount val="1"/>
                  </c:strCache>
                </c:strRef>
              </c:tx>
              <c:dLblPos val="t"/>
              <c:showLegendKey val="0"/>
              <c:showVal val="1"/>
              <c:showCatName val="0"/>
              <c:showSerName val="0"/>
              <c:showPercent val="0"/>
              <c:showBubbleSize val="0"/>
            </c:dLbl>
            <c:showLegendKey val="0"/>
            <c:showVal val="1"/>
            <c:showCatName val="0"/>
            <c:showSerName val="0"/>
            <c:showPercent val="0"/>
            <c:showBubbleSize val="0"/>
            <c:showLeaderLines val="0"/>
          </c:dLbls>
          <c:cat>
            <c:numRef>
              <c:f>'Age1.3'!$O$4:$O$51</c:f>
              <c:numCache>
                <c:formatCode>General</c:formatCode>
                <c:ptCount val="48"/>
                <c:pt idx="0">
                  <c:v>1966</c:v>
                </c:pt>
                <c:pt idx="1">
                  <c:v>1967</c:v>
                </c:pt>
                <c:pt idx="2">
                  <c:v>1968</c:v>
                </c:pt>
                <c:pt idx="3">
                  <c:v>1969</c:v>
                </c:pt>
                <c:pt idx="4">
                  <c:v>1970</c:v>
                </c:pt>
                <c:pt idx="5">
                  <c:v>1971</c:v>
                </c:pt>
                <c:pt idx="6">
                  <c:v>1972</c:v>
                </c:pt>
                <c:pt idx="7">
                  <c:v>1973</c:v>
                </c:pt>
                <c:pt idx="8">
                  <c:v>1974</c:v>
                </c:pt>
                <c:pt idx="9">
                  <c:v>1975</c:v>
                </c:pt>
                <c:pt idx="10">
                  <c:v>1976</c:v>
                </c:pt>
                <c:pt idx="11">
                  <c:v>1977</c:v>
                </c:pt>
                <c:pt idx="12">
                  <c:v>1978</c:v>
                </c:pt>
                <c:pt idx="13">
                  <c:v>1979</c:v>
                </c:pt>
                <c:pt idx="14">
                  <c:v>1980</c:v>
                </c:pt>
                <c:pt idx="15">
                  <c:v>1981</c:v>
                </c:pt>
                <c:pt idx="16">
                  <c:v>1982</c:v>
                </c:pt>
                <c:pt idx="17">
                  <c:v>1983</c:v>
                </c:pt>
                <c:pt idx="18">
                  <c:v>1984</c:v>
                </c:pt>
                <c:pt idx="19">
                  <c:v>1985</c:v>
                </c:pt>
                <c:pt idx="20">
                  <c:v>1986</c:v>
                </c:pt>
                <c:pt idx="21">
                  <c:v>1987</c:v>
                </c:pt>
                <c:pt idx="22">
                  <c:v>1988</c:v>
                </c:pt>
                <c:pt idx="23">
                  <c:v>1989</c:v>
                </c:pt>
                <c:pt idx="24">
                  <c:v>1990</c:v>
                </c:pt>
                <c:pt idx="25">
                  <c:v>1991</c:v>
                </c:pt>
                <c:pt idx="26">
                  <c:v>1992</c:v>
                </c:pt>
                <c:pt idx="27">
                  <c:v>1993</c:v>
                </c:pt>
                <c:pt idx="28">
                  <c:v>1994</c:v>
                </c:pt>
                <c:pt idx="29">
                  <c:v>1995</c:v>
                </c:pt>
                <c:pt idx="30">
                  <c:v>1996</c:v>
                </c:pt>
                <c:pt idx="31">
                  <c:v>1997</c:v>
                </c:pt>
                <c:pt idx="32">
                  <c:v>1998</c:v>
                </c:pt>
                <c:pt idx="33">
                  <c:v>1999</c:v>
                </c:pt>
                <c:pt idx="34">
                  <c:v>2000</c:v>
                </c:pt>
                <c:pt idx="35">
                  <c:v>2001</c:v>
                </c:pt>
                <c:pt idx="36">
                  <c:v>2002</c:v>
                </c:pt>
                <c:pt idx="37">
                  <c:v>2003</c:v>
                </c:pt>
                <c:pt idx="38">
                  <c:v>2004</c:v>
                </c:pt>
                <c:pt idx="39">
                  <c:v>2005</c:v>
                </c:pt>
                <c:pt idx="40">
                  <c:v>2006</c:v>
                </c:pt>
                <c:pt idx="41">
                  <c:v>2007</c:v>
                </c:pt>
                <c:pt idx="42">
                  <c:v>2008</c:v>
                </c:pt>
                <c:pt idx="43">
                  <c:v>2009</c:v>
                </c:pt>
                <c:pt idx="44">
                  <c:v>2010</c:v>
                </c:pt>
                <c:pt idx="45">
                  <c:v>2011</c:v>
                </c:pt>
                <c:pt idx="46">
                  <c:v>2012</c:v>
                </c:pt>
                <c:pt idx="47">
                  <c:v>2013</c:v>
                </c:pt>
              </c:numCache>
            </c:numRef>
          </c:cat>
          <c:val>
            <c:numRef>
              <c:f>'Age1.3'!$P$4:$P$51</c:f>
              <c:numCache>
                <c:formatCode>#,##0_);\(#,##0\)</c:formatCode>
                <c:ptCount val="48"/>
                <c:pt idx="0">
                  <c:v>1182522.7542456505</c:v>
                </c:pt>
                <c:pt idx="1">
                  <c:v>560800.76741469896</c:v>
                </c:pt>
                <c:pt idx="2">
                  <c:v>491920.16191207559</c:v>
                </c:pt>
                <c:pt idx="3">
                  <c:v>836133.8820333922</c:v>
                </c:pt>
                <c:pt idx="4">
                  <c:v>1126848.439217363</c:v>
                </c:pt>
                <c:pt idx="5">
                  <c:v>886578.61449924554</c:v>
                </c:pt>
                <c:pt idx="6">
                  <c:v>707854.19432154007</c:v>
                </c:pt>
                <c:pt idx="7">
                  <c:v>592986.4878251045</c:v>
                </c:pt>
                <c:pt idx="8">
                  <c:v>638486.34876982134</c:v>
                </c:pt>
                <c:pt idx="9">
                  <c:v>346614.00262167363</c:v>
                </c:pt>
                <c:pt idx="10">
                  <c:v>940919.76351097296</c:v>
                </c:pt>
                <c:pt idx="11">
                  <c:v>846188.38728043251</c:v>
                </c:pt>
                <c:pt idx="12">
                  <c:v>297364.96532358415</c:v>
                </c:pt>
                <c:pt idx="13">
                  <c:v>442734.39909796033</c:v>
                </c:pt>
                <c:pt idx="14">
                  <c:v>410835.62987088464</c:v>
                </c:pt>
                <c:pt idx="15">
                  <c:v>897075.92530656559</c:v>
                </c:pt>
                <c:pt idx="16">
                  <c:v>1351823.9406582871</c:v>
                </c:pt>
                <c:pt idx="17">
                  <c:v>817109.74979398493</c:v>
                </c:pt>
                <c:pt idx="18">
                  <c:v>1424421.7932741994</c:v>
                </c:pt>
                <c:pt idx="19">
                  <c:v>1044206.836082815</c:v>
                </c:pt>
                <c:pt idx="20">
                  <c:v>729707.86718836357</c:v>
                </c:pt>
                <c:pt idx="21">
                  <c:v>1361112.3412895144</c:v>
                </c:pt>
                <c:pt idx="22">
                  <c:v>536879.18023254443</c:v>
                </c:pt>
                <c:pt idx="23">
                  <c:v>1012944.0742998301</c:v>
                </c:pt>
                <c:pt idx="24">
                  <c:v>641426.45512191299</c:v>
                </c:pt>
                <c:pt idx="25">
                  <c:v>1292395.1381037389</c:v>
                </c:pt>
                <c:pt idx="26">
                  <c:v>1075295.1477904324</c:v>
                </c:pt>
                <c:pt idx="27">
                  <c:v>1329979.1552080857</c:v>
                </c:pt>
                <c:pt idx="28">
                  <c:v>1332570.2372110838</c:v>
                </c:pt>
                <c:pt idx="29">
                  <c:v>1060308.8407004261</c:v>
                </c:pt>
                <c:pt idx="30">
                  <c:v>1989184.4640360922</c:v>
                </c:pt>
                <c:pt idx="31">
                  <c:v>2415249.6642813412</c:v>
                </c:pt>
                <c:pt idx="32">
                  <c:v>1112912.7648551823</c:v>
                </c:pt>
                <c:pt idx="33">
                  <c:v>1216630.2738301605</c:v>
                </c:pt>
                <c:pt idx="34">
                  <c:v>929769.82433363562</c:v>
                </c:pt>
                <c:pt idx="35">
                  <c:v>1671044.5816115239</c:v>
                </c:pt>
                <c:pt idx="36">
                  <c:v>1250886.8726059287</c:v>
                </c:pt>
                <c:pt idx="37">
                  <c:v>1379966.5856725546</c:v>
                </c:pt>
                <c:pt idx="38">
                  <c:v>996194.75347909459</c:v>
                </c:pt>
                <c:pt idx="39">
                  <c:v>1434375.124038063</c:v>
                </c:pt>
                <c:pt idx="40">
                  <c:v>1472393.5551385009</c:v>
                </c:pt>
                <c:pt idx="41">
                  <c:v>2281728.634522045</c:v>
                </c:pt>
                <c:pt idx="42">
                  <c:v>796157.21431067027</c:v>
                </c:pt>
                <c:pt idx="43">
                  <c:v>940457.62252988853</c:v>
                </c:pt>
                <c:pt idx="44">
                  <c:v>730494.56928830943</c:v>
                </c:pt>
                <c:pt idx="45">
                  <c:v>1832418.5211423838</c:v>
                </c:pt>
                <c:pt idx="46">
                  <c:v>2079282.070390793</c:v>
                </c:pt>
              </c:numCache>
            </c:numRef>
          </c:val>
          <c:smooth val="0"/>
        </c:ser>
        <c:ser>
          <c:idx val="1"/>
          <c:order val="1"/>
          <c:spPr>
            <a:ln w="12700">
              <a:solidFill>
                <a:srgbClr val="FF00FF"/>
              </a:solidFill>
              <a:prstDash val="solid"/>
            </a:ln>
          </c:spPr>
          <c:marker>
            <c:symbol val="triangle"/>
            <c:size val="10"/>
            <c:spPr>
              <a:solidFill>
                <a:srgbClr val="FF0000"/>
              </a:solidFill>
              <a:ln>
                <a:solidFill>
                  <a:srgbClr val="FF0000"/>
                </a:solidFill>
                <a:prstDash val="solid"/>
              </a:ln>
            </c:spPr>
          </c:marker>
          <c:cat>
            <c:numRef>
              <c:f>'Age1.3'!$O$4:$O$51</c:f>
              <c:numCache>
                <c:formatCode>General</c:formatCode>
                <c:ptCount val="48"/>
                <c:pt idx="0">
                  <c:v>1966</c:v>
                </c:pt>
                <c:pt idx="1">
                  <c:v>1967</c:v>
                </c:pt>
                <c:pt idx="2">
                  <c:v>1968</c:v>
                </c:pt>
                <c:pt idx="3">
                  <c:v>1969</c:v>
                </c:pt>
                <c:pt idx="4">
                  <c:v>1970</c:v>
                </c:pt>
                <c:pt idx="5">
                  <c:v>1971</c:v>
                </c:pt>
                <c:pt idx="6">
                  <c:v>1972</c:v>
                </c:pt>
                <c:pt idx="7">
                  <c:v>1973</c:v>
                </c:pt>
                <c:pt idx="8">
                  <c:v>1974</c:v>
                </c:pt>
                <c:pt idx="9">
                  <c:v>1975</c:v>
                </c:pt>
                <c:pt idx="10">
                  <c:v>1976</c:v>
                </c:pt>
                <c:pt idx="11">
                  <c:v>1977</c:v>
                </c:pt>
                <c:pt idx="12">
                  <c:v>1978</c:v>
                </c:pt>
                <c:pt idx="13">
                  <c:v>1979</c:v>
                </c:pt>
                <c:pt idx="14">
                  <c:v>1980</c:v>
                </c:pt>
                <c:pt idx="15">
                  <c:v>1981</c:v>
                </c:pt>
                <c:pt idx="16">
                  <c:v>1982</c:v>
                </c:pt>
                <c:pt idx="17">
                  <c:v>1983</c:v>
                </c:pt>
                <c:pt idx="18">
                  <c:v>1984</c:v>
                </c:pt>
                <c:pt idx="19">
                  <c:v>1985</c:v>
                </c:pt>
                <c:pt idx="20">
                  <c:v>1986</c:v>
                </c:pt>
                <c:pt idx="21">
                  <c:v>1987</c:v>
                </c:pt>
                <c:pt idx="22">
                  <c:v>1988</c:v>
                </c:pt>
                <c:pt idx="23">
                  <c:v>1989</c:v>
                </c:pt>
                <c:pt idx="24">
                  <c:v>1990</c:v>
                </c:pt>
                <c:pt idx="25">
                  <c:v>1991</c:v>
                </c:pt>
                <c:pt idx="26">
                  <c:v>1992</c:v>
                </c:pt>
                <c:pt idx="27">
                  <c:v>1993</c:v>
                </c:pt>
                <c:pt idx="28">
                  <c:v>1994</c:v>
                </c:pt>
                <c:pt idx="29">
                  <c:v>1995</c:v>
                </c:pt>
                <c:pt idx="30">
                  <c:v>1996</c:v>
                </c:pt>
                <c:pt idx="31">
                  <c:v>1997</c:v>
                </c:pt>
                <c:pt idx="32">
                  <c:v>1998</c:v>
                </c:pt>
                <c:pt idx="33">
                  <c:v>1999</c:v>
                </c:pt>
                <c:pt idx="34">
                  <c:v>2000</c:v>
                </c:pt>
                <c:pt idx="35">
                  <c:v>2001</c:v>
                </c:pt>
                <c:pt idx="36">
                  <c:v>2002</c:v>
                </c:pt>
                <c:pt idx="37">
                  <c:v>2003</c:v>
                </c:pt>
                <c:pt idx="38">
                  <c:v>2004</c:v>
                </c:pt>
                <c:pt idx="39">
                  <c:v>2005</c:v>
                </c:pt>
                <c:pt idx="40">
                  <c:v>2006</c:v>
                </c:pt>
                <c:pt idx="41">
                  <c:v>2007</c:v>
                </c:pt>
                <c:pt idx="42">
                  <c:v>2008</c:v>
                </c:pt>
                <c:pt idx="43">
                  <c:v>2009</c:v>
                </c:pt>
                <c:pt idx="44">
                  <c:v>2010</c:v>
                </c:pt>
                <c:pt idx="45">
                  <c:v>2011</c:v>
                </c:pt>
                <c:pt idx="46">
                  <c:v>2012</c:v>
                </c:pt>
                <c:pt idx="47">
                  <c:v>2013</c:v>
                </c:pt>
              </c:numCache>
            </c:numRef>
          </c:cat>
          <c:val>
            <c:numRef>
              <c:f>'Age1.3'!$R$4:$R$51</c:f>
              <c:numCache>
                <c:formatCode>General</c:formatCode>
                <c:ptCount val="4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formatCode="#,##0_);\(#,##0\)">
                  <c:v>2263895.6102893078</c:v>
                </c:pt>
              </c:numCache>
            </c:numRef>
          </c:val>
          <c:smooth val="0"/>
        </c:ser>
        <c:ser>
          <c:idx val="2"/>
          <c:order val="2"/>
          <c:spPr>
            <a:ln w="12700">
              <a:solidFill>
                <a:srgbClr val="000000"/>
              </a:solidFill>
              <a:prstDash val="solid"/>
            </a:ln>
          </c:spPr>
          <c:marker>
            <c:symbol val="none"/>
          </c:marker>
          <c:cat>
            <c:numRef>
              <c:f>'Age1.3'!$O$4:$O$51</c:f>
              <c:numCache>
                <c:formatCode>General</c:formatCode>
                <c:ptCount val="48"/>
                <c:pt idx="0">
                  <c:v>1966</c:v>
                </c:pt>
                <c:pt idx="1">
                  <c:v>1967</c:v>
                </c:pt>
                <c:pt idx="2">
                  <c:v>1968</c:v>
                </c:pt>
                <c:pt idx="3">
                  <c:v>1969</c:v>
                </c:pt>
                <c:pt idx="4">
                  <c:v>1970</c:v>
                </c:pt>
                <c:pt idx="5">
                  <c:v>1971</c:v>
                </c:pt>
                <c:pt idx="6">
                  <c:v>1972</c:v>
                </c:pt>
                <c:pt idx="7">
                  <c:v>1973</c:v>
                </c:pt>
                <c:pt idx="8">
                  <c:v>1974</c:v>
                </c:pt>
                <c:pt idx="9">
                  <c:v>1975</c:v>
                </c:pt>
                <c:pt idx="10">
                  <c:v>1976</c:v>
                </c:pt>
                <c:pt idx="11">
                  <c:v>1977</c:v>
                </c:pt>
                <c:pt idx="12">
                  <c:v>1978</c:v>
                </c:pt>
                <c:pt idx="13">
                  <c:v>1979</c:v>
                </c:pt>
                <c:pt idx="14">
                  <c:v>1980</c:v>
                </c:pt>
                <c:pt idx="15">
                  <c:v>1981</c:v>
                </c:pt>
                <c:pt idx="16">
                  <c:v>1982</c:v>
                </c:pt>
                <c:pt idx="17">
                  <c:v>1983</c:v>
                </c:pt>
                <c:pt idx="18">
                  <c:v>1984</c:v>
                </c:pt>
                <c:pt idx="19">
                  <c:v>1985</c:v>
                </c:pt>
                <c:pt idx="20">
                  <c:v>1986</c:v>
                </c:pt>
                <c:pt idx="21">
                  <c:v>1987</c:v>
                </c:pt>
                <c:pt idx="22">
                  <c:v>1988</c:v>
                </c:pt>
                <c:pt idx="23">
                  <c:v>1989</c:v>
                </c:pt>
                <c:pt idx="24">
                  <c:v>1990</c:v>
                </c:pt>
                <c:pt idx="25">
                  <c:v>1991</c:v>
                </c:pt>
                <c:pt idx="26">
                  <c:v>1992</c:v>
                </c:pt>
                <c:pt idx="27">
                  <c:v>1993</c:v>
                </c:pt>
                <c:pt idx="28">
                  <c:v>1994</c:v>
                </c:pt>
                <c:pt idx="29">
                  <c:v>1995</c:v>
                </c:pt>
                <c:pt idx="30">
                  <c:v>1996</c:v>
                </c:pt>
                <c:pt idx="31">
                  <c:v>1997</c:v>
                </c:pt>
                <c:pt idx="32">
                  <c:v>1998</c:v>
                </c:pt>
                <c:pt idx="33">
                  <c:v>1999</c:v>
                </c:pt>
                <c:pt idx="34">
                  <c:v>2000</c:v>
                </c:pt>
                <c:pt idx="35">
                  <c:v>2001</c:v>
                </c:pt>
                <c:pt idx="36">
                  <c:v>2002</c:v>
                </c:pt>
                <c:pt idx="37">
                  <c:v>2003</c:v>
                </c:pt>
                <c:pt idx="38">
                  <c:v>2004</c:v>
                </c:pt>
                <c:pt idx="39">
                  <c:v>2005</c:v>
                </c:pt>
                <c:pt idx="40">
                  <c:v>2006</c:v>
                </c:pt>
                <c:pt idx="41">
                  <c:v>2007</c:v>
                </c:pt>
                <c:pt idx="42">
                  <c:v>2008</c:v>
                </c:pt>
                <c:pt idx="43">
                  <c:v>2009</c:v>
                </c:pt>
                <c:pt idx="44">
                  <c:v>2010</c:v>
                </c:pt>
                <c:pt idx="45">
                  <c:v>2011</c:v>
                </c:pt>
                <c:pt idx="46">
                  <c:v>2012</c:v>
                </c:pt>
                <c:pt idx="47">
                  <c:v>2013</c:v>
                </c:pt>
              </c:numCache>
            </c:numRef>
          </c:cat>
          <c:val>
            <c:numRef>
              <c:f>'Age1.3'!$S$4:$S$51</c:f>
              <c:numCache>
                <c:formatCode>#,##0</c:formatCode>
                <c:ptCount val="48"/>
                <c:pt idx="0">
                  <c:v>1364764.1503822471</c:v>
                </c:pt>
                <c:pt idx="1">
                  <c:v>1364764.1503822471</c:v>
                </c:pt>
                <c:pt idx="2">
                  <c:v>1364764.1503822471</c:v>
                </c:pt>
                <c:pt idx="3">
                  <c:v>1364764.1503822471</c:v>
                </c:pt>
                <c:pt idx="4">
                  <c:v>1364764.1503822471</c:v>
                </c:pt>
                <c:pt idx="5">
                  <c:v>1364764.1503822471</c:v>
                </c:pt>
                <c:pt idx="6">
                  <c:v>1364764.1503822471</c:v>
                </c:pt>
                <c:pt idx="7">
                  <c:v>1364764.1503822471</c:v>
                </c:pt>
                <c:pt idx="8">
                  <c:v>1364764.1503822471</c:v>
                </c:pt>
                <c:pt idx="9">
                  <c:v>1364764.1503822471</c:v>
                </c:pt>
                <c:pt idx="10">
                  <c:v>1364764.1503822471</c:v>
                </c:pt>
                <c:pt idx="11">
                  <c:v>1364764.1503822471</c:v>
                </c:pt>
                <c:pt idx="12">
                  <c:v>1364764.1503822471</c:v>
                </c:pt>
                <c:pt idx="13">
                  <c:v>1364764.1503822471</c:v>
                </c:pt>
                <c:pt idx="14">
                  <c:v>1364764.1503822471</c:v>
                </c:pt>
                <c:pt idx="15">
                  <c:v>1364764.1503822471</c:v>
                </c:pt>
                <c:pt idx="16">
                  <c:v>1364764.1503822471</c:v>
                </c:pt>
                <c:pt idx="17">
                  <c:v>1364764.1503822471</c:v>
                </c:pt>
                <c:pt idx="18">
                  <c:v>1364764.1503822471</c:v>
                </c:pt>
                <c:pt idx="19">
                  <c:v>1364764.1503822471</c:v>
                </c:pt>
                <c:pt idx="20">
                  <c:v>1364764.1503822471</c:v>
                </c:pt>
                <c:pt idx="21">
                  <c:v>1364764.1503822471</c:v>
                </c:pt>
                <c:pt idx="22">
                  <c:v>1364764.1503822471</c:v>
                </c:pt>
                <c:pt idx="23">
                  <c:v>1364764.1503822471</c:v>
                </c:pt>
                <c:pt idx="24">
                  <c:v>1364764.1503822471</c:v>
                </c:pt>
                <c:pt idx="25">
                  <c:v>1364764.1503822471</c:v>
                </c:pt>
                <c:pt idx="26">
                  <c:v>1364764.1503822471</c:v>
                </c:pt>
                <c:pt idx="27">
                  <c:v>1364764.1503822471</c:v>
                </c:pt>
                <c:pt idx="28">
                  <c:v>1364764.1503822471</c:v>
                </c:pt>
                <c:pt idx="29">
                  <c:v>1364764.1503822471</c:v>
                </c:pt>
                <c:pt idx="30">
                  <c:v>1364764.1503822471</c:v>
                </c:pt>
                <c:pt idx="31">
                  <c:v>1364764.1503822471</c:v>
                </c:pt>
                <c:pt idx="32">
                  <c:v>1364764.1503822471</c:v>
                </c:pt>
                <c:pt idx="33">
                  <c:v>1364764.1503822471</c:v>
                </c:pt>
                <c:pt idx="34">
                  <c:v>1364764.1503822471</c:v>
                </c:pt>
                <c:pt idx="35">
                  <c:v>1364764.1503822471</c:v>
                </c:pt>
                <c:pt idx="36">
                  <c:v>1364764.1503822471</c:v>
                </c:pt>
                <c:pt idx="37">
                  <c:v>1364764.1503822471</c:v>
                </c:pt>
                <c:pt idx="38">
                  <c:v>1364764.1503822471</c:v>
                </c:pt>
                <c:pt idx="39">
                  <c:v>1364764.1503822471</c:v>
                </c:pt>
                <c:pt idx="40">
                  <c:v>1364764.1503822471</c:v>
                </c:pt>
                <c:pt idx="41">
                  <c:v>1364764.1503822471</c:v>
                </c:pt>
                <c:pt idx="42">
                  <c:v>1364764.1503822471</c:v>
                </c:pt>
                <c:pt idx="43">
                  <c:v>1364764.1503822471</c:v>
                </c:pt>
                <c:pt idx="44">
                  <c:v>1364764.1503822471</c:v>
                </c:pt>
                <c:pt idx="45">
                  <c:v>1364764.1503822471</c:v>
                </c:pt>
                <c:pt idx="46">
                  <c:v>1364764.1503822471</c:v>
                </c:pt>
                <c:pt idx="47">
                  <c:v>1364764.1503822471</c:v>
                </c:pt>
              </c:numCache>
            </c:numRef>
          </c:val>
          <c:smooth val="0"/>
        </c:ser>
        <c:dLbls>
          <c:showLegendKey val="0"/>
          <c:showVal val="0"/>
          <c:showCatName val="0"/>
          <c:showSerName val="0"/>
          <c:showPercent val="0"/>
          <c:showBubbleSize val="0"/>
        </c:dLbls>
        <c:marker val="1"/>
        <c:smooth val="0"/>
        <c:axId val="352094080"/>
        <c:axId val="351955200"/>
      </c:lineChart>
      <c:catAx>
        <c:axId val="352094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Times New Roman"/>
                <a:ea typeface="Times New Roman"/>
                <a:cs typeface="Times New Roman"/>
              </a:defRPr>
            </a:pPr>
            <a:endParaRPr lang="en-US"/>
          </a:p>
        </c:txPr>
        <c:crossAx val="351955200"/>
        <c:crosses val="autoZero"/>
        <c:auto val="1"/>
        <c:lblAlgn val="ctr"/>
        <c:lblOffset val="100"/>
        <c:tickLblSkip val="2"/>
        <c:tickMarkSkip val="1"/>
        <c:noMultiLvlLbl val="0"/>
      </c:catAx>
      <c:valAx>
        <c:axId val="351955200"/>
        <c:scaling>
          <c:orientation val="minMax"/>
        </c:scaling>
        <c:delete val="0"/>
        <c:axPos val="l"/>
        <c:title>
          <c:tx>
            <c:rich>
              <a:bodyPr/>
              <a:lstStyle/>
              <a:p>
                <a:pPr>
                  <a:defRPr sz="1425" b="1" i="0" u="none" strike="noStrike" baseline="0">
                    <a:solidFill>
                      <a:srgbClr val="000000"/>
                    </a:solidFill>
                    <a:latin typeface="Times New Roman"/>
                    <a:ea typeface="Times New Roman"/>
                    <a:cs typeface="Times New Roman"/>
                  </a:defRPr>
                </a:pPr>
                <a:r>
                  <a:rPr lang="en-US"/>
                  <a:t>Nr. of fish</a:t>
                </a:r>
              </a:p>
            </c:rich>
          </c:tx>
          <c:layout>
            <c:manualLayout>
              <c:xMode val="edge"/>
              <c:yMode val="edge"/>
              <c:x val="2.1887824897400831E-2"/>
              <c:y val="0.29133858267716756"/>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352094080"/>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236662106703146"/>
          <c:y val="0.11417322834645738"/>
          <c:w val="0.80848153214774277"/>
          <c:h val="0.68897637795275557"/>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'Age1.3'!$O$4:$O$51</c:f>
              <c:numCache>
                <c:formatCode>General</c:formatCode>
                <c:ptCount val="48"/>
                <c:pt idx="0">
                  <c:v>1966</c:v>
                </c:pt>
                <c:pt idx="1">
                  <c:v>1967</c:v>
                </c:pt>
                <c:pt idx="2">
                  <c:v>1968</c:v>
                </c:pt>
                <c:pt idx="3">
                  <c:v>1969</c:v>
                </c:pt>
                <c:pt idx="4">
                  <c:v>1970</c:v>
                </c:pt>
                <c:pt idx="5">
                  <c:v>1971</c:v>
                </c:pt>
                <c:pt idx="6">
                  <c:v>1972</c:v>
                </c:pt>
                <c:pt idx="7">
                  <c:v>1973</c:v>
                </c:pt>
                <c:pt idx="8">
                  <c:v>1974</c:v>
                </c:pt>
                <c:pt idx="9">
                  <c:v>1975</c:v>
                </c:pt>
                <c:pt idx="10">
                  <c:v>1976</c:v>
                </c:pt>
                <c:pt idx="11">
                  <c:v>1977</c:v>
                </c:pt>
                <c:pt idx="12">
                  <c:v>1978</c:v>
                </c:pt>
                <c:pt idx="13">
                  <c:v>1979</c:v>
                </c:pt>
                <c:pt idx="14">
                  <c:v>1980</c:v>
                </c:pt>
                <c:pt idx="15">
                  <c:v>1981</c:v>
                </c:pt>
                <c:pt idx="16">
                  <c:v>1982</c:v>
                </c:pt>
                <c:pt idx="17">
                  <c:v>1983</c:v>
                </c:pt>
                <c:pt idx="18">
                  <c:v>1984</c:v>
                </c:pt>
                <c:pt idx="19">
                  <c:v>1985</c:v>
                </c:pt>
                <c:pt idx="20">
                  <c:v>1986</c:v>
                </c:pt>
                <c:pt idx="21">
                  <c:v>1987</c:v>
                </c:pt>
                <c:pt idx="22">
                  <c:v>1988</c:v>
                </c:pt>
                <c:pt idx="23">
                  <c:v>1989</c:v>
                </c:pt>
                <c:pt idx="24">
                  <c:v>1990</c:v>
                </c:pt>
                <c:pt idx="25">
                  <c:v>1991</c:v>
                </c:pt>
                <c:pt idx="26">
                  <c:v>1992</c:v>
                </c:pt>
                <c:pt idx="27">
                  <c:v>1993</c:v>
                </c:pt>
                <c:pt idx="28">
                  <c:v>1994</c:v>
                </c:pt>
                <c:pt idx="29">
                  <c:v>1995</c:v>
                </c:pt>
                <c:pt idx="30">
                  <c:v>1996</c:v>
                </c:pt>
                <c:pt idx="31">
                  <c:v>1997</c:v>
                </c:pt>
                <c:pt idx="32">
                  <c:v>1998</c:v>
                </c:pt>
                <c:pt idx="33">
                  <c:v>1999</c:v>
                </c:pt>
                <c:pt idx="34">
                  <c:v>2000</c:v>
                </c:pt>
                <c:pt idx="35">
                  <c:v>2001</c:v>
                </c:pt>
                <c:pt idx="36">
                  <c:v>2002</c:v>
                </c:pt>
                <c:pt idx="37">
                  <c:v>2003</c:v>
                </c:pt>
                <c:pt idx="38">
                  <c:v>2004</c:v>
                </c:pt>
                <c:pt idx="39">
                  <c:v>2005</c:v>
                </c:pt>
                <c:pt idx="40">
                  <c:v>2006</c:v>
                </c:pt>
                <c:pt idx="41">
                  <c:v>2007</c:v>
                </c:pt>
                <c:pt idx="42">
                  <c:v>2008</c:v>
                </c:pt>
                <c:pt idx="43">
                  <c:v>2009</c:v>
                </c:pt>
                <c:pt idx="44">
                  <c:v>2010</c:v>
                </c:pt>
                <c:pt idx="45">
                  <c:v>2011</c:v>
                </c:pt>
                <c:pt idx="46">
                  <c:v>2012</c:v>
                </c:pt>
                <c:pt idx="47">
                  <c:v>2013</c:v>
                </c:pt>
              </c:numCache>
            </c:numRef>
          </c:cat>
          <c:val>
            <c:numRef>
              <c:f>'Age1.3'!$U$4:$U$51</c:f>
              <c:numCache>
                <c:formatCode>0.0%</c:formatCode>
                <c:ptCount val="48"/>
                <c:pt idx="0">
                  <c:v>-0.13353325267633523</c:v>
                </c:pt>
                <c:pt idx="1">
                  <c:v>-0.58908594773856837</c:v>
                </c:pt>
                <c:pt idx="2">
                  <c:v>-0.63955665030159448</c:v>
                </c:pt>
                <c:pt idx="3">
                  <c:v>-0.38734184818731837</c:v>
                </c:pt>
                <c:pt idx="4">
                  <c:v>-0.17432734520338034</c:v>
                </c:pt>
                <c:pt idx="5">
                  <c:v>-0.35037961375895604</c:v>
                </c:pt>
                <c:pt idx="6">
                  <c:v>-0.48133588201061533</c:v>
                </c:pt>
                <c:pt idx="7">
                  <c:v>-0.56550259056920626</c:v>
                </c:pt>
                <c:pt idx="8">
                  <c:v>-0.53216359867674412</c:v>
                </c:pt>
                <c:pt idx="9">
                  <c:v>-0.74602644528390272</c:v>
                </c:pt>
                <c:pt idx="10">
                  <c:v>-0.31056236841549695</c:v>
                </c:pt>
                <c:pt idx="11">
                  <c:v>-0.37997463734416703</c:v>
                </c:pt>
                <c:pt idx="12">
                  <c:v>-0.78211256117747718</c:v>
                </c:pt>
                <c:pt idx="13">
                  <c:v>-0.67559640325109804</c:v>
                </c:pt>
                <c:pt idx="14">
                  <c:v>-0.69896950344437425</c:v>
                </c:pt>
                <c:pt idx="15">
                  <c:v>-0.34268794717731266</c:v>
                </c:pt>
                <c:pt idx="16">
                  <c:v>-9.4816453966317764E-3</c:v>
                </c:pt>
                <c:pt idx="17">
                  <c:v>-0.40128134992033132</c:v>
                </c:pt>
                <c:pt idx="18">
                  <c:v>4.3712785740483595E-2</c:v>
                </c:pt>
                <c:pt idx="19">
                  <c:v>-0.23488110690015523</c:v>
                </c:pt>
                <c:pt idx="20">
                  <c:v>-0.46532309851194076</c:v>
                </c:pt>
                <c:pt idx="21">
                  <c:v>-2.6757803476225566E-3</c:v>
                </c:pt>
                <c:pt idx="22">
                  <c:v>-0.60661394858432227</c:v>
                </c:pt>
                <c:pt idx="23">
                  <c:v>-0.25778818705332945</c:v>
                </c:pt>
                <c:pt idx="24">
                  <c:v>-0.53000930238220245</c:v>
                </c:pt>
                <c:pt idx="25">
                  <c:v>-5.3026753566349789E-2</c:v>
                </c:pt>
                <c:pt idx="26">
                  <c:v>-0.2121018510859472</c:v>
                </c:pt>
                <c:pt idx="27">
                  <c:v>-2.5487916842202158E-2</c:v>
                </c:pt>
                <c:pt idx="28">
                  <c:v>-2.3589360229125545E-2</c:v>
                </c:pt>
                <c:pt idx="29">
                  <c:v>-0.22308272795453207</c:v>
                </c:pt>
                <c:pt idx="30">
                  <c:v>0.45752983288647764</c:v>
                </c:pt>
                <c:pt idx="31">
                  <c:v>0.76971945196895097</c:v>
                </c:pt>
                <c:pt idx="32">
                  <c:v>-0.18453839475232811</c:v>
                </c:pt>
                <c:pt idx="33">
                  <c:v>-0.10854174071805506</c:v>
                </c:pt>
                <c:pt idx="34">
                  <c:v>-0.31873223364401604</c:v>
                </c:pt>
                <c:pt idx="35">
                  <c:v>0.22442004440363775</c:v>
                </c:pt>
                <c:pt idx="36">
                  <c:v>-8.3440994361130671E-2</c:v>
                </c:pt>
                <c:pt idx="37">
                  <c:v>1.1139239908997876E-2</c:v>
                </c:pt>
                <c:pt idx="38">
                  <c:v>-0.27006087227593317</c:v>
                </c:pt>
                <c:pt idx="39">
                  <c:v>5.10058632741189E-2</c:v>
                </c:pt>
                <c:pt idx="40">
                  <c:v>7.886300700828687E-2</c:v>
                </c:pt>
                <c:pt idx="41">
                  <c:v>0.6718849435508486</c:v>
                </c:pt>
                <c:pt idx="42">
                  <c:v>-0.41663384542473492</c:v>
                </c:pt>
                <c:pt idx="43">
                  <c:v>-0.31090099174536312</c:v>
                </c:pt>
                <c:pt idx="44">
                  <c:v>-0.46474666037812434</c:v>
                </c:pt>
                <c:pt idx="45">
                  <c:v>0.3426631411948759</c:v>
                </c:pt>
                <c:pt idx="46">
                  <c:v>0.52354681195899067</c:v>
                </c:pt>
                <c:pt idx="47">
                  <c:v>0.65881819921429607</c:v>
                </c:pt>
              </c:numCache>
            </c:numRef>
          </c:val>
        </c:ser>
        <c:ser>
          <c:idx val="1"/>
          <c:order val="1"/>
          <c:tx>
            <c:v>2012 Forecast</c:v>
          </c:tx>
          <c:spPr>
            <a:solidFill>
              <a:srgbClr val="FF0000"/>
            </a:solidFill>
            <a:ln w="12700">
              <a:solidFill>
                <a:srgbClr val="000000"/>
              </a:solidFill>
              <a:prstDash val="solid"/>
            </a:ln>
          </c:spPr>
          <c:invertIfNegative val="0"/>
          <c:cat>
            <c:numRef>
              <c:f>'Age1.3'!$O$4:$O$51</c:f>
              <c:numCache>
                <c:formatCode>General</c:formatCode>
                <c:ptCount val="48"/>
                <c:pt idx="0">
                  <c:v>1966</c:v>
                </c:pt>
                <c:pt idx="1">
                  <c:v>1967</c:v>
                </c:pt>
                <c:pt idx="2">
                  <c:v>1968</c:v>
                </c:pt>
                <c:pt idx="3">
                  <c:v>1969</c:v>
                </c:pt>
                <c:pt idx="4">
                  <c:v>1970</c:v>
                </c:pt>
                <c:pt idx="5">
                  <c:v>1971</c:v>
                </c:pt>
                <c:pt idx="6">
                  <c:v>1972</c:v>
                </c:pt>
                <c:pt idx="7">
                  <c:v>1973</c:v>
                </c:pt>
                <c:pt idx="8">
                  <c:v>1974</c:v>
                </c:pt>
                <c:pt idx="9">
                  <c:v>1975</c:v>
                </c:pt>
                <c:pt idx="10">
                  <c:v>1976</c:v>
                </c:pt>
                <c:pt idx="11">
                  <c:v>1977</c:v>
                </c:pt>
                <c:pt idx="12">
                  <c:v>1978</c:v>
                </c:pt>
                <c:pt idx="13">
                  <c:v>1979</c:v>
                </c:pt>
                <c:pt idx="14">
                  <c:v>1980</c:v>
                </c:pt>
                <c:pt idx="15">
                  <c:v>1981</c:v>
                </c:pt>
                <c:pt idx="16">
                  <c:v>1982</c:v>
                </c:pt>
                <c:pt idx="17">
                  <c:v>1983</c:v>
                </c:pt>
                <c:pt idx="18">
                  <c:v>1984</c:v>
                </c:pt>
                <c:pt idx="19">
                  <c:v>1985</c:v>
                </c:pt>
                <c:pt idx="20">
                  <c:v>1986</c:v>
                </c:pt>
                <c:pt idx="21">
                  <c:v>1987</c:v>
                </c:pt>
                <c:pt idx="22">
                  <c:v>1988</c:v>
                </c:pt>
                <c:pt idx="23">
                  <c:v>1989</c:v>
                </c:pt>
                <c:pt idx="24">
                  <c:v>1990</c:v>
                </c:pt>
                <c:pt idx="25">
                  <c:v>1991</c:v>
                </c:pt>
                <c:pt idx="26">
                  <c:v>1992</c:v>
                </c:pt>
                <c:pt idx="27">
                  <c:v>1993</c:v>
                </c:pt>
                <c:pt idx="28">
                  <c:v>1994</c:v>
                </c:pt>
                <c:pt idx="29">
                  <c:v>1995</c:v>
                </c:pt>
                <c:pt idx="30">
                  <c:v>1996</c:v>
                </c:pt>
                <c:pt idx="31">
                  <c:v>1997</c:v>
                </c:pt>
                <c:pt idx="32">
                  <c:v>1998</c:v>
                </c:pt>
                <c:pt idx="33">
                  <c:v>1999</c:v>
                </c:pt>
                <c:pt idx="34">
                  <c:v>2000</c:v>
                </c:pt>
                <c:pt idx="35">
                  <c:v>2001</c:v>
                </c:pt>
                <c:pt idx="36">
                  <c:v>2002</c:v>
                </c:pt>
                <c:pt idx="37">
                  <c:v>2003</c:v>
                </c:pt>
                <c:pt idx="38">
                  <c:v>2004</c:v>
                </c:pt>
                <c:pt idx="39">
                  <c:v>2005</c:v>
                </c:pt>
                <c:pt idx="40">
                  <c:v>2006</c:v>
                </c:pt>
                <c:pt idx="41">
                  <c:v>2007</c:v>
                </c:pt>
                <c:pt idx="42">
                  <c:v>2008</c:v>
                </c:pt>
                <c:pt idx="43">
                  <c:v>2009</c:v>
                </c:pt>
                <c:pt idx="44">
                  <c:v>2010</c:v>
                </c:pt>
                <c:pt idx="45">
                  <c:v>2011</c:v>
                </c:pt>
                <c:pt idx="46">
                  <c:v>2012</c:v>
                </c:pt>
                <c:pt idx="47">
                  <c:v>2013</c:v>
                </c:pt>
              </c:numCache>
            </c:numRef>
          </c:cat>
          <c:val>
            <c:numRef>
              <c:f>'Age1.3'!$V$4:$V$51</c:f>
              <c:numCache>
                <c:formatCode>General</c:formatCode>
                <c:ptCount val="48"/>
                <c:pt idx="47" formatCode="0.0%">
                  <c:v>0.65881819921429607</c:v>
                </c:pt>
              </c:numCache>
            </c:numRef>
          </c:val>
        </c:ser>
        <c:dLbls>
          <c:showLegendKey val="0"/>
          <c:showVal val="0"/>
          <c:showCatName val="0"/>
          <c:showSerName val="0"/>
          <c:showPercent val="0"/>
          <c:showBubbleSize val="0"/>
        </c:dLbls>
        <c:gapWidth val="0"/>
        <c:axId val="352125696"/>
        <c:axId val="352127232"/>
      </c:barChart>
      <c:catAx>
        <c:axId val="352125696"/>
        <c:scaling>
          <c:orientation val="minMax"/>
        </c:scaling>
        <c:delete val="0"/>
        <c:axPos val="b"/>
        <c:numFmt formatCode="General" sourceLinked="1"/>
        <c:majorTickMark val="out"/>
        <c:minorTickMark val="none"/>
        <c:tickLblPos val="low"/>
        <c:spPr>
          <a:ln w="3175">
            <a:solidFill>
              <a:srgbClr val="000000"/>
            </a:solidFill>
            <a:prstDash val="solid"/>
          </a:ln>
        </c:spPr>
        <c:txPr>
          <a:bodyPr rot="-5400000" vert="horz"/>
          <a:lstStyle/>
          <a:p>
            <a:pPr>
              <a:defRPr sz="1000" b="0" i="0" u="none" strike="noStrike" baseline="0">
                <a:solidFill>
                  <a:srgbClr val="000000"/>
                </a:solidFill>
                <a:latin typeface="Times New Roman"/>
                <a:ea typeface="Times New Roman"/>
                <a:cs typeface="Times New Roman"/>
              </a:defRPr>
            </a:pPr>
            <a:endParaRPr lang="en-US"/>
          </a:p>
        </c:txPr>
        <c:crossAx val="352127232"/>
        <c:crosses val="autoZero"/>
        <c:auto val="1"/>
        <c:lblAlgn val="ctr"/>
        <c:lblOffset val="100"/>
        <c:tickLblSkip val="2"/>
        <c:tickMarkSkip val="1"/>
        <c:noMultiLvlLbl val="0"/>
      </c:catAx>
      <c:valAx>
        <c:axId val="352127232"/>
        <c:scaling>
          <c:orientation val="minMax"/>
        </c:scaling>
        <c:delete val="0"/>
        <c:axPos val="l"/>
        <c:majorGridlines>
          <c:spPr>
            <a:ln w="3175">
              <a:solidFill>
                <a:srgbClr val="C0C0C0"/>
              </a:solidFill>
              <a:prstDash val="sysDash"/>
            </a:ln>
          </c:spPr>
        </c:majorGridlines>
        <c:title>
          <c:tx>
            <c:rich>
              <a:bodyPr/>
              <a:lstStyle/>
              <a:p>
                <a:pPr>
                  <a:defRPr sz="1400" b="1" i="0" u="none" strike="noStrike" baseline="0">
                    <a:solidFill>
                      <a:srgbClr val="000000"/>
                    </a:solidFill>
                    <a:latin typeface="Times New Roman"/>
                    <a:ea typeface="Times New Roman"/>
                    <a:cs typeface="Times New Roman"/>
                  </a:defRPr>
                </a:pPr>
                <a:r>
                  <a:rPr lang="en-US"/>
                  <a:t>% difference </a:t>
                </a:r>
              </a:p>
            </c:rich>
          </c:tx>
          <c:layout>
            <c:manualLayout>
              <c:xMode val="edge"/>
              <c:yMode val="edge"/>
              <c:x val="3.0095759233926132E-2"/>
              <c:y val="0.24015748031496198"/>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352125696"/>
        <c:crosses val="autoZero"/>
        <c:crossBetween val="between"/>
        <c:majorUnit val="0.25"/>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407888818228484"/>
          <c:y val="8.0924969694063487E-2"/>
          <c:w val="0.81575654170091316"/>
          <c:h val="0.63294887010713341"/>
        </c:manualLayout>
      </c:layout>
      <c:lineChart>
        <c:grouping val="standard"/>
        <c:varyColors val="0"/>
        <c:ser>
          <c:idx val="0"/>
          <c:order val="0"/>
          <c:tx>
            <c:v>Ln0.3=Ln1.1</c:v>
          </c:tx>
          <c:spPr>
            <a:ln w="12700">
              <a:solidFill>
                <a:srgbClr val="000080"/>
              </a:solidFill>
              <a:prstDash val="solid"/>
            </a:ln>
          </c:spPr>
          <c:marker>
            <c:symbol val="diamond"/>
            <c:size val="7"/>
            <c:spPr>
              <a:solidFill>
                <a:srgbClr val="FFFFFF"/>
              </a:solidFill>
              <a:ln>
                <a:solidFill>
                  <a:srgbClr val="000000"/>
                </a:solidFill>
                <a:prstDash val="solid"/>
              </a:ln>
            </c:spPr>
          </c:marker>
          <c:cat>
            <c:numRef>
              <c:f>ln03xln11!$B$13:$B$61</c:f>
              <c:numCache>
                <c:formatCode>General</c:formatCode>
                <c:ptCount val="49"/>
                <c:pt idx="0">
                  <c:v>1966</c:v>
                </c:pt>
                <c:pt idx="1">
                  <c:v>1967</c:v>
                </c:pt>
                <c:pt idx="2">
                  <c:v>1968</c:v>
                </c:pt>
                <c:pt idx="3">
                  <c:v>1969</c:v>
                </c:pt>
                <c:pt idx="4">
                  <c:v>1970</c:v>
                </c:pt>
                <c:pt idx="5">
                  <c:v>1971</c:v>
                </c:pt>
                <c:pt idx="6">
                  <c:v>1972</c:v>
                </c:pt>
                <c:pt idx="7">
                  <c:v>1973</c:v>
                </c:pt>
                <c:pt idx="8">
                  <c:v>1974</c:v>
                </c:pt>
                <c:pt idx="9">
                  <c:v>1975</c:v>
                </c:pt>
                <c:pt idx="10">
                  <c:v>1976</c:v>
                </c:pt>
                <c:pt idx="11">
                  <c:v>1977</c:v>
                </c:pt>
                <c:pt idx="12">
                  <c:v>1978</c:v>
                </c:pt>
                <c:pt idx="13">
                  <c:v>1979</c:v>
                </c:pt>
                <c:pt idx="14">
                  <c:v>1980</c:v>
                </c:pt>
                <c:pt idx="15">
                  <c:v>1981</c:v>
                </c:pt>
                <c:pt idx="16">
                  <c:v>1982</c:v>
                </c:pt>
                <c:pt idx="17">
                  <c:v>1983</c:v>
                </c:pt>
                <c:pt idx="18">
                  <c:v>1984</c:v>
                </c:pt>
                <c:pt idx="19">
                  <c:v>1985</c:v>
                </c:pt>
                <c:pt idx="20">
                  <c:v>1986</c:v>
                </c:pt>
                <c:pt idx="21">
                  <c:v>1987</c:v>
                </c:pt>
                <c:pt idx="22">
                  <c:v>1988</c:v>
                </c:pt>
                <c:pt idx="23">
                  <c:v>1989</c:v>
                </c:pt>
                <c:pt idx="24">
                  <c:v>1990</c:v>
                </c:pt>
                <c:pt idx="25">
                  <c:v>1991</c:v>
                </c:pt>
                <c:pt idx="26">
                  <c:v>1992</c:v>
                </c:pt>
                <c:pt idx="27">
                  <c:v>1993</c:v>
                </c:pt>
                <c:pt idx="28">
                  <c:v>1994</c:v>
                </c:pt>
                <c:pt idx="29">
                  <c:v>1995</c:v>
                </c:pt>
                <c:pt idx="30">
                  <c:v>1996</c:v>
                </c:pt>
                <c:pt idx="31">
                  <c:v>1997</c:v>
                </c:pt>
                <c:pt idx="32">
                  <c:v>1998</c:v>
                </c:pt>
                <c:pt idx="33">
                  <c:v>1999</c:v>
                </c:pt>
                <c:pt idx="34">
                  <c:v>2000</c:v>
                </c:pt>
                <c:pt idx="35">
                  <c:v>2001</c:v>
                </c:pt>
                <c:pt idx="36">
                  <c:v>2002</c:v>
                </c:pt>
                <c:pt idx="37">
                  <c:v>2003</c:v>
                </c:pt>
                <c:pt idx="38">
                  <c:v>2004</c:v>
                </c:pt>
                <c:pt idx="39">
                  <c:v>2005</c:v>
                </c:pt>
                <c:pt idx="40">
                  <c:v>2006</c:v>
                </c:pt>
                <c:pt idx="41">
                  <c:v>2007</c:v>
                </c:pt>
                <c:pt idx="42">
                  <c:v>2008</c:v>
                </c:pt>
                <c:pt idx="43">
                  <c:v>2009</c:v>
                </c:pt>
                <c:pt idx="44">
                  <c:v>2010</c:v>
                </c:pt>
                <c:pt idx="45">
                  <c:v>2011</c:v>
                </c:pt>
                <c:pt idx="46">
                  <c:v>2012</c:v>
                </c:pt>
                <c:pt idx="47">
                  <c:v>2013</c:v>
                </c:pt>
                <c:pt idx="48">
                  <c:v>2014</c:v>
                </c:pt>
              </c:numCache>
            </c:numRef>
          </c:cat>
          <c:val>
            <c:numRef>
              <c:f>ln03xln11!$X$13:$X$61</c:f>
              <c:numCache>
                <c:formatCode>0.0%</c:formatCode>
                <c:ptCount val="49"/>
                <c:pt idx="0">
                  <c:v>0.17515640152223297</c:v>
                </c:pt>
                <c:pt idx="1">
                  <c:v>12.09929849117013</c:v>
                </c:pt>
                <c:pt idx="2">
                  <c:v>0.27918575640557652</c:v>
                </c:pt>
                <c:pt idx="3">
                  <c:v>50.385499423558684</c:v>
                </c:pt>
                <c:pt idx="4">
                  <c:v>-0.39185580509280021</c:v>
                </c:pt>
                <c:pt idx="5">
                  <c:v>6.9534789790075759</c:v>
                </c:pt>
                <c:pt idx="6">
                  <c:v>0.10233420900179005</c:v>
                </c:pt>
                <c:pt idx="7">
                  <c:v>-0.27612491285220553</c:v>
                </c:pt>
                <c:pt idx="8">
                  <c:v>10.329495486081811</c:v>
                </c:pt>
                <c:pt idx="9">
                  <c:v>3.8780584220137677</c:v>
                </c:pt>
                <c:pt idx="10">
                  <c:v>5.1433455081026709E-2</c:v>
                </c:pt>
                <c:pt idx="11">
                  <c:v>-0.42765062439494439</c:v>
                </c:pt>
                <c:pt idx="12">
                  <c:v>4.6175613009095615</c:v>
                </c:pt>
                <c:pt idx="13">
                  <c:v>0.2152197335385081</c:v>
                </c:pt>
                <c:pt idx="14">
                  <c:v>4.5238233133546677</c:v>
                </c:pt>
                <c:pt idx="15">
                  <c:v>-0.85046575006740699</c:v>
                </c:pt>
                <c:pt idx="16">
                  <c:v>2.138624060170216</c:v>
                </c:pt>
                <c:pt idx="17">
                  <c:v>-0.25992878026294308</c:v>
                </c:pt>
                <c:pt idx="18">
                  <c:v>3.7337537667968586</c:v>
                </c:pt>
                <c:pt idx="19">
                  <c:v>-0.75173169154902908</c:v>
                </c:pt>
                <c:pt idx="20">
                  <c:v>-0.35811334533993411</c:v>
                </c:pt>
                <c:pt idx="21">
                  <c:v>-0.47885101672854274</c:v>
                </c:pt>
                <c:pt idx="22">
                  <c:v>-0.3908537422857063</c:v>
                </c:pt>
                <c:pt idx="23">
                  <c:v>0.68301641108732913</c:v>
                </c:pt>
                <c:pt idx="24">
                  <c:v>-0.83068671128189731</c:v>
                </c:pt>
                <c:pt idx="25">
                  <c:v>-0.11501699006847473</c:v>
                </c:pt>
                <c:pt idx="26">
                  <c:v>-0.28726862562411343</c:v>
                </c:pt>
                <c:pt idx="27">
                  <c:v>-0.69355357557720942</c:v>
                </c:pt>
                <c:pt idx="28">
                  <c:v>-0.34261301832114266</c:v>
                </c:pt>
                <c:pt idx="29">
                  <c:v>0.30928905199604562</c:v>
                </c:pt>
                <c:pt idx="30">
                  <c:v>-0.23184844976872224</c:v>
                </c:pt>
                <c:pt idx="31">
                  <c:v>-0.93034898212320838</c:v>
                </c:pt>
                <c:pt idx="32">
                  <c:v>0.9128221131306985</c:v>
                </c:pt>
                <c:pt idx="33">
                  <c:v>-0.18647598952577149</c:v>
                </c:pt>
                <c:pt idx="34">
                  <c:v>-0.2196553240196305</c:v>
                </c:pt>
                <c:pt idx="35">
                  <c:v>-0.75263887110718752</c:v>
                </c:pt>
                <c:pt idx="36">
                  <c:v>-1.2538892243487934E-2</c:v>
                </c:pt>
                <c:pt idx="37">
                  <c:v>-0.45857452485625882</c:v>
                </c:pt>
                <c:pt idx="38">
                  <c:v>-0.40959774227980877</c:v>
                </c:pt>
                <c:pt idx="39">
                  <c:v>-0.72879739624948459</c:v>
                </c:pt>
                <c:pt idx="40">
                  <c:v>-0.48012655794326303</c:v>
                </c:pt>
                <c:pt idx="41">
                  <c:v>-0.64521456127228527</c:v>
                </c:pt>
                <c:pt idx="42">
                  <c:v>4.0633562306178703</c:v>
                </c:pt>
                <c:pt idx="43">
                  <c:v>-0.51484807789991871</c:v>
                </c:pt>
                <c:pt idx="44">
                  <c:v>-0.13919969185373668</c:v>
                </c:pt>
                <c:pt idx="45">
                  <c:v>-0.57985741692327042</c:v>
                </c:pt>
                <c:pt idx="46">
                  <c:v>-0.79398984487989677</c:v>
                </c:pt>
                <c:pt idx="47">
                  <c:v>4.5891564479813102E-2</c:v>
                </c:pt>
                <c:pt idx="48">
                  <c:v>0.25032069991834716</c:v>
                </c:pt>
              </c:numCache>
            </c:numRef>
          </c:val>
          <c:smooth val="0"/>
        </c:ser>
        <c:ser>
          <c:idx val="1"/>
          <c:order val="1"/>
          <c:tx>
            <c:v>ln0.3=ln0.2</c:v>
          </c:tx>
          <c:spPr>
            <a:ln w="12700">
              <a:solidFill>
                <a:srgbClr val="000000"/>
              </a:solidFill>
              <a:prstDash val="solid"/>
            </a:ln>
          </c:spPr>
          <c:marker>
            <c:symbol val="square"/>
            <c:size val="5"/>
            <c:spPr>
              <a:solidFill>
                <a:srgbClr val="000000"/>
              </a:solidFill>
              <a:ln>
                <a:solidFill>
                  <a:srgbClr val="000000"/>
                </a:solidFill>
                <a:prstDash val="solid"/>
              </a:ln>
            </c:spPr>
          </c:marker>
          <c:val>
            <c:numRef>
              <c:f>ln03xln02!$X$13:$X$56</c:f>
              <c:numCache>
                <c:formatCode>0.0%</c:formatCode>
                <c:ptCount val="44"/>
                <c:pt idx="0">
                  <c:v>2.2075057725126523</c:v>
                </c:pt>
                <c:pt idx="1">
                  <c:v>16.328431294286233</c:v>
                </c:pt>
                <c:pt idx="2">
                  <c:v>0.83049826428205664</c:v>
                </c:pt>
                <c:pt idx="3">
                  <c:v>2.8559515105813946</c:v>
                </c:pt>
                <c:pt idx="4">
                  <c:v>-0.34748092575260331</c:v>
                </c:pt>
                <c:pt idx="5">
                  <c:v>7.2636762335220162</c:v>
                </c:pt>
                <c:pt idx="6">
                  <c:v>0.91472413686313481</c:v>
                </c:pt>
                <c:pt idx="7">
                  <c:v>-0.33133649505164192</c:v>
                </c:pt>
                <c:pt idx="8">
                  <c:v>-0.22265646968708161</c:v>
                </c:pt>
                <c:pt idx="9">
                  <c:v>-0.41055369942241005</c:v>
                </c:pt>
                <c:pt idx="10">
                  <c:v>-0.82941683901820762</c:v>
                </c:pt>
                <c:pt idx="11">
                  <c:v>-0.28930842913096366</c:v>
                </c:pt>
                <c:pt idx="12">
                  <c:v>0.86815767711239766</c:v>
                </c:pt>
                <c:pt idx="13">
                  <c:v>1.1646981613851755</c:v>
                </c:pt>
                <c:pt idx="14">
                  <c:v>-0.60421007161598506</c:v>
                </c:pt>
                <c:pt idx="15">
                  <c:v>1.5252851803410603</c:v>
                </c:pt>
                <c:pt idx="16">
                  <c:v>-0.17038573115001923</c:v>
                </c:pt>
                <c:pt idx="17">
                  <c:v>-0.41938305850325369</c:v>
                </c:pt>
                <c:pt idx="18">
                  <c:v>0.21013502381081961</c:v>
                </c:pt>
                <c:pt idx="19">
                  <c:v>-0.49961303569045751</c:v>
                </c:pt>
                <c:pt idx="20">
                  <c:v>-0.19242468276509697</c:v>
                </c:pt>
                <c:pt idx="21">
                  <c:v>-0.38232670828581894</c:v>
                </c:pt>
                <c:pt idx="22">
                  <c:v>-0.44153128158527666</c:v>
                </c:pt>
                <c:pt idx="23">
                  <c:v>-0.5156438257595356</c:v>
                </c:pt>
                <c:pt idx="24">
                  <c:v>0.2455215962110032</c:v>
                </c:pt>
                <c:pt idx="25">
                  <c:v>-0.23946301345581186</c:v>
                </c:pt>
                <c:pt idx="26">
                  <c:v>-0.70562736719091923</c:v>
                </c:pt>
                <c:pt idx="27">
                  <c:v>0.74613479067576816</c:v>
                </c:pt>
                <c:pt idx="28">
                  <c:v>0.12841094194682887</c:v>
                </c:pt>
                <c:pt idx="29">
                  <c:v>1.144335081524519</c:v>
                </c:pt>
                <c:pt idx="30">
                  <c:v>-6.263770641206208E-2</c:v>
                </c:pt>
                <c:pt idx="31">
                  <c:v>-0.44722851256011592</c:v>
                </c:pt>
                <c:pt idx="32">
                  <c:v>0.54672969054356735</c:v>
                </c:pt>
                <c:pt idx="33">
                  <c:v>7.2308482151866069E-2</c:v>
                </c:pt>
                <c:pt idx="34">
                  <c:v>-0.54967723005358338</c:v>
                </c:pt>
                <c:pt idx="35">
                  <c:v>0.91093024204774486</c:v>
                </c:pt>
                <c:pt idx="36">
                  <c:v>1.2034170334812635</c:v>
                </c:pt>
                <c:pt idx="37">
                  <c:v>0.85993573757856689</c:v>
                </c:pt>
                <c:pt idx="38">
                  <c:v>-0.19748230144772305</c:v>
                </c:pt>
                <c:pt idx="39">
                  <c:v>0.15920686842154838</c:v>
                </c:pt>
                <c:pt idx="40">
                  <c:v>-0.78963970942213435</c:v>
                </c:pt>
                <c:pt idx="41">
                  <c:v>-0.9402031361445472</c:v>
                </c:pt>
                <c:pt idx="42">
                  <c:v>0.4211579271802211</c:v>
                </c:pt>
                <c:pt idx="43">
                  <c:v>-0.18796155154247232</c:v>
                </c:pt>
              </c:numCache>
            </c:numRef>
          </c:val>
          <c:smooth val="0"/>
        </c:ser>
        <c:dLbls>
          <c:showLegendKey val="0"/>
          <c:showVal val="0"/>
          <c:showCatName val="0"/>
          <c:showSerName val="0"/>
          <c:showPercent val="0"/>
          <c:showBubbleSize val="0"/>
        </c:dLbls>
        <c:marker val="1"/>
        <c:smooth val="0"/>
        <c:axId val="352273920"/>
        <c:axId val="352289152"/>
      </c:lineChart>
      <c:catAx>
        <c:axId val="352273920"/>
        <c:scaling>
          <c:orientation val="minMax"/>
        </c:scaling>
        <c:delete val="0"/>
        <c:axPos val="b"/>
        <c:title>
          <c:tx>
            <c:rich>
              <a:bodyPr/>
              <a:lstStyle/>
              <a:p>
                <a:pPr>
                  <a:defRPr sz="1200" b="1" i="0" u="none" strike="noStrike" baseline="0">
                    <a:solidFill>
                      <a:srgbClr val="000000"/>
                    </a:solidFill>
                    <a:latin typeface="Arial"/>
                    <a:ea typeface="Arial"/>
                    <a:cs typeface="Arial"/>
                  </a:defRPr>
                </a:pPr>
                <a:r>
                  <a:rPr lang="en-US"/>
                  <a:t>Run Year</a:t>
                </a:r>
              </a:p>
            </c:rich>
          </c:tx>
          <c:layout>
            <c:manualLayout>
              <c:xMode val="edge"/>
              <c:yMode val="edge"/>
              <c:x val="0.53367243961086863"/>
              <c:y val="0.87572375707372541"/>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2700000" vert="horz"/>
          <a:lstStyle/>
          <a:p>
            <a:pPr>
              <a:defRPr sz="1200" b="0" i="0" u="none" strike="noStrike" baseline="0">
                <a:solidFill>
                  <a:srgbClr val="000000"/>
                </a:solidFill>
                <a:latin typeface="Arial"/>
                <a:ea typeface="Arial"/>
                <a:cs typeface="Arial"/>
              </a:defRPr>
            </a:pPr>
            <a:endParaRPr lang="en-US"/>
          </a:p>
        </c:txPr>
        <c:crossAx val="352289152"/>
        <c:crosses val="autoZero"/>
        <c:auto val="1"/>
        <c:lblAlgn val="ctr"/>
        <c:lblOffset val="100"/>
        <c:tickLblSkip val="3"/>
        <c:tickMarkSkip val="1"/>
        <c:noMultiLvlLbl val="0"/>
      </c:catAx>
      <c:valAx>
        <c:axId val="352289152"/>
        <c:scaling>
          <c:orientation val="minMax"/>
        </c:scaling>
        <c:delete val="0"/>
        <c:axPos val="l"/>
        <c:title>
          <c:tx>
            <c:rich>
              <a:bodyPr/>
              <a:lstStyle/>
              <a:p>
                <a:pPr>
                  <a:defRPr sz="1200" b="1" i="0" u="none" strike="noStrike" baseline="0">
                    <a:solidFill>
                      <a:srgbClr val="000000"/>
                    </a:solidFill>
                    <a:latin typeface="Arial"/>
                    <a:ea typeface="Arial"/>
                    <a:cs typeface="Arial"/>
                  </a:defRPr>
                </a:pPr>
                <a:r>
                  <a:rPr lang="en-US"/>
                  <a:t>Leaving one out % Error</a:t>
                </a:r>
              </a:p>
            </c:rich>
          </c:tx>
          <c:layout>
            <c:manualLayout>
              <c:xMode val="edge"/>
              <c:yMode val="edge"/>
              <c:x val="1.9059720457433305E-2"/>
              <c:y val="0.1184974132568689"/>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52273920"/>
        <c:crosses val="autoZero"/>
        <c:crossBetween val="between"/>
        <c:majorUnit val="172.28670618257894"/>
      </c:valAx>
      <c:spPr>
        <a:solidFill>
          <a:srgbClr val="FFFFFF"/>
        </a:solidFill>
        <a:ln w="25400">
          <a:noFill/>
        </a:ln>
      </c:spPr>
    </c:plotArea>
    <c:legend>
      <c:legendPos val="r"/>
      <c:layout>
        <c:manualLayout>
          <c:xMode val="edge"/>
          <c:yMode val="edge"/>
          <c:x val="0.69504487288518146"/>
          <c:y val="0.27456677741871882"/>
          <c:w val="0.1677256734267808"/>
          <c:h val="0.14161880054010723"/>
        </c:manualLayout>
      </c:layout>
      <c:overlay val="0"/>
      <c:spPr>
        <a:solidFill>
          <a:srgbClr val="FFFFFF"/>
        </a:solidFill>
        <a:ln w="25400">
          <a:noFill/>
        </a:ln>
      </c:spPr>
      <c:txPr>
        <a:bodyPr/>
        <a:lstStyle/>
        <a:p>
          <a:pPr>
            <a:defRPr sz="10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455" r="0.75000000000000455" t="1" header="0.5" footer="0.5"/>
    <c:pageSetup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683553379371897"/>
          <c:y val="7.6086956521739135E-2"/>
          <c:w val="0.84177267217951957"/>
          <c:h val="0.67391304347826164"/>
        </c:manualLayout>
      </c:layout>
      <c:lineChart>
        <c:grouping val="standard"/>
        <c:varyColors val="0"/>
        <c:ser>
          <c:idx val="0"/>
          <c:order val="0"/>
          <c:tx>
            <c:v>Ln12rps=BYE</c:v>
          </c:tx>
          <c:spPr>
            <a:ln w="12700">
              <a:solidFill>
                <a:srgbClr val="000000"/>
              </a:solidFill>
              <a:prstDash val="solid"/>
            </a:ln>
          </c:spPr>
          <c:marker>
            <c:symbol val="diamond"/>
            <c:size val="5"/>
            <c:spPr>
              <a:solidFill>
                <a:srgbClr val="FFFFFF"/>
              </a:solidFill>
              <a:ln>
                <a:solidFill>
                  <a:srgbClr val="000000"/>
                </a:solidFill>
                <a:prstDash val="solid"/>
              </a:ln>
            </c:spPr>
          </c:marker>
          <c:cat>
            <c:numRef>
              <c:f>ln12rpsxBYE!$B$16:$B$61</c:f>
              <c:numCache>
                <c:formatCode>0_)</c:formatCode>
                <c:ptCount val="46"/>
                <c:pt idx="0">
                  <c:v>1969</c:v>
                </c:pt>
                <c:pt idx="1">
                  <c:v>1970</c:v>
                </c:pt>
                <c:pt idx="2">
                  <c:v>1971</c:v>
                </c:pt>
                <c:pt idx="3">
                  <c:v>1972</c:v>
                </c:pt>
                <c:pt idx="4">
                  <c:v>1973</c:v>
                </c:pt>
                <c:pt idx="5">
                  <c:v>1974</c:v>
                </c:pt>
                <c:pt idx="6">
                  <c:v>1975</c:v>
                </c:pt>
                <c:pt idx="7">
                  <c:v>1976</c:v>
                </c:pt>
                <c:pt idx="8">
                  <c:v>1977</c:v>
                </c:pt>
                <c:pt idx="9">
                  <c:v>1978</c:v>
                </c:pt>
                <c:pt idx="10">
                  <c:v>1979</c:v>
                </c:pt>
                <c:pt idx="11">
                  <c:v>1980</c:v>
                </c:pt>
                <c:pt idx="12">
                  <c:v>1981</c:v>
                </c:pt>
                <c:pt idx="13">
                  <c:v>1982</c:v>
                </c:pt>
                <c:pt idx="14">
                  <c:v>1983</c:v>
                </c:pt>
                <c:pt idx="15">
                  <c:v>1984</c:v>
                </c:pt>
                <c:pt idx="16">
                  <c:v>1985</c:v>
                </c:pt>
                <c:pt idx="17">
                  <c:v>1986</c:v>
                </c:pt>
                <c:pt idx="18">
                  <c:v>1987</c:v>
                </c:pt>
                <c:pt idx="19">
                  <c:v>1988</c:v>
                </c:pt>
                <c:pt idx="20">
                  <c:v>1989</c:v>
                </c:pt>
                <c:pt idx="21">
                  <c:v>1990</c:v>
                </c:pt>
                <c:pt idx="22">
                  <c:v>1991</c:v>
                </c:pt>
                <c:pt idx="23">
                  <c:v>1992</c:v>
                </c:pt>
                <c:pt idx="24">
                  <c:v>1993</c:v>
                </c:pt>
                <c:pt idx="25">
                  <c:v>1994</c:v>
                </c:pt>
                <c:pt idx="26">
                  <c:v>1995</c:v>
                </c:pt>
                <c:pt idx="27">
                  <c:v>1996</c:v>
                </c:pt>
                <c:pt idx="28">
                  <c:v>1997</c:v>
                </c:pt>
                <c:pt idx="29">
                  <c:v>1998</c:v>
                </c:pt>
                <c:pt idx="30">
                  <c:v>1999</c:v>
                </c:pt>
                <c:pt idx="31">
                  <c:v>2000</c:v>
                </c:pt>
                <c:pt idx="32">
                  <c:v>2001</c:v>
                </c:pt>
                <c:pt idx="33">
                  <c:v>2002</c:v>
                </c:pt>
                <c:pt idx="34">
                  <c:v>2003</c:v>
                </c:pt>
                <c:pt idx="35">
                  <c:v>2004</c:v>
                </c:pt>
                <c:pt idx="36">
                  <c:v>2005</c:v>
                </c:pt>
                <c:pt idx="37">
                  <c:v>2006</c:v>
                </c:pt>
                <c:pt idx="38">
                  <c:v>2007</c:v>
                </c:pt>
                <c:pt idx="39">
                  <c:v>2008</c:v>
                </c:pt>
                <c:pt idx="40">
                  <c:v>2009</c:v>
                </c:pt>
                <c:pt idx="41">
                  <c:v>2010</c:v>
                </c:pt>
                <c:pt idx="42">
                  <c:v>2011</c:v>
                </c:pt>
                <c:pt idx="43">
                  <c:v>2012</c:v>
                </c:pt>
                <c:pt idx="44">
                  <c:v>2013</c:v>
                </c:pt>
                <c:pt idx="45">
                  <c:v>2014</c:v>
                </c:pt>
              </c:numCache>
            </c:numRef>
          </c:cat>
          <c:val>
            <c:numRef>
              <c:f>ln12rpsxBYE!$X$16:$X$61</c:f>
              <c:numCache>
                <c:formatCode>0.0%</c:formatCode>
                <c:ptCount val="46"/>
                <c:pt idx="0">
                  <c:v>-0.51831018041110488</c:v>
                </c:pt>
                <c:pt idx="1">
                  <c:v>-0.37730294145577636</c:v>
                </c:pt>
                <c:pt idx="2">
                  <c:v>4.8800615193794292E-2</c:v>
                </c:pt>
                <c:pt idx="3">
                  <c:v>-3.1250286125142891E-2</c:v>
                </c:pt>
                <c:pt idx="4">
                  <c:v>1.2485235893941535</c:v>
                </c:pt>
                <c:pt idx="5">
                  <c:v>1.1935488656661029</c:v>
                </c:pt>
                <c:pt idx="6">
                  <c:v>3.9829309091494802</c:v>
                </c:pt>
                <c:pt idx="7">
                  <c:v>0.44621691439926675</c:v>
                </c:pt>
                <c:pt idx="8">
                  <c:v>6.1567919945655758</c:v>
                </c:pt>
                <c:pt idx="9">
                  <c:v>-0.16831245944774673</c:v>
                </c:pt>
                <c:pt idx="10">
                  <c:v>0.7233521262460707</c:v>
                </c:pt>
                <c:pt idx="11">
                  <c:v>-0.16103152984223354</c:v>
                </c:pt>
                <c:pt idx="12">
                  <c:v>0.39603118336068766</c:v>
                </c:pt>
                <c:pt idx="13">
                  <c:v>-0.63538667696010698</c:v>
                </c:pt>
                <c:pt idx="14">
                  <c:v>-0.36764576894868956</c:v>
                </c:pt>
                <c:pt idx="15">
                  <c:v>0.15988544565247478</c:v>
                </c:pt>
                <c:pt idx="16">
                  <c:v>0.60695798353268315</c:v>
                </c:pt>
                <c:pt idx="17">
                  <c:v>-0.19958329679336123</c:v>
                </c:pt>
                <c:pt idx="18">
                  <c:v>1.1839787194986293</c:v>
                </c:pt>
                <c:pt idx="19">
                  <c:v>-0.17704183577131855</c:v>
                </c:pt>
                <c:pt idx="20">
                  <c:v>-9.7475309001587799E-3</c:v>
                </c:pt>
                <c:pt idx="21">
                  <c:v>-0.22158718704326921</c:v>
                </c:pt>
                <c:pt idx="22">
                  <c:v>-3.9806716516066147E-2</c:v>
                </c:pt>
                <c:pt idx="23">
                  <c:v>-8.0862183787609773E-2</c:v>
                </c:pt>
                <c:pt idx="24">
                  <c:v>-7.3476330285373578E-2</c:v>
                </c:pt>
                <c:pt idx="25">
                  <c:v>0.12410724238162171</c:v>
                </c:pt>
                <c:pt idx="26">
                  <c:v>-0.48854367301619489</c:v>
                </c:pt>
                <c:pt idx="27">
                  <c:v>-0.55450737008177786</c:v>
                </c:pt>
                <c:pt idx="28">
                  <c:v>-3.443101744948289E-2</c:v>
                </c:pt>
                <c:pt idx="29">
                  <c:v>-0.13472523975227238</c:v>
                </c:pt>
                <c:pt idx="30">
                  <c:v>2.4898938956037286E-2</c:v>
                </c:pt>
                <c:pt idx="31">
                  <c:v>2.2832252996580484</c:v>
                </c:pt>
                <c:pt idx="32">
                  <c:v>1.7070952318754649</c:v>
                </c:pt>
                <c:pt idx="33">
                  <c:v>-0.34556351242064415</c:v>
                </c:pt>
                <c:pt idx="34">
                  <c:v>-0.12581845088221949</c:v>
                </c:pt>
                <c:pt idx="35">
                  <c:v>-0.55701060465417485</c:v>
                </c:pt>
                <c:pt idx="36">
                  <c:v>-6.7792266668130499E-2</c:v>
                </c:pt>
                <c:pt idx="37">
                  <c:v>-0.40593076060290173</c:v>
                </c:pt>
                <c:pt idx="38">
                  <c:v>0.68148302159634411</c:v>
                </c:pt>
                <c:pt idx="39">
                  <c:v>1.2924092659248285</c:v>
                </c:pt>
                <c:pt idx="40">
                  <c:v>-0.32640330109285276</c:v>
                </c:pt>
                <c:pt idx="41">
                  <c:v>-0.41952344913049699</c:v>
                </c:pt>
                <c:pt idx="42">
                  <c:v>-0.46581724092582238</c:v>
                </c:pt>
                <c:pt idx="43">
                  <c:v>-0.49165096068868097</c:v>
                </c:pt>
                <c:pt idx="44">
                  <c:v>-0.64820728662536686</c:v>
                </c:pt>
                <c:pt idx="45">
                  <c:v>-0.66704428448148367</c:v>
                </c:pt>
              </c:numCache>
            </c:numRef>
          </c:val>
          <c:smooth val="0"/>
        </c:ser>
        <c:ser>
          <c:idx val="1"/>
          <c:order val="1"/>
          <c:tx>
            <c:v>Ln1.2=Ln1.1</c:v>
          </c:tx>
          <c:spPr>
            <a:ln w="12700">
              <a:solidFill>
                <a:srgbClr val="000000"/>
              </a:solidFill>
              <a:prstDash val="solid"/>
            </a:ln>
          </c:spPr>
          <c:marker>
            <c:symbol val="square"/>
            <c:size val="5"/>
            <c:spPr>
              <a:solidFill>
                <a:srgbClr val="000000"/>
              </a:solidFill>
              <a:ln>
                <a:solidFill>
                  <a:srgbClr val="000000"/>
                </a:solidFill>
                <a:prstDash val="solid"/>
              </a:ln>
            </c:spPr>
          </c:marker>
          <c:cat>
            <c:numRef>
              <c:f>ln12rpsxBYE!$B$16:$B$61</c:f>
              <c:numCache>
                <c:formatCode>0_)</c:formatCode>
                <c:ptCount val="46"/>
                <c:pt idx="0">
                  <c:v>1969</c:v>
                </c:pt>
                <c:pt idx="1">
                  <c:v>1970</c:v>
                </c:pt>
                <c:pt idx="2">
                  <c:v>1971</c:v>
                </c:pt>
                <c:pt idx="3">
                  <c:v>1972</c:v>
                </c:pt>
                <c:pt idx="4">
                  <c:v>1973</c:v>
                </c:pt>
                <c:pt idx="5">
                  <c:v>1974</c:v>
                </c:pt>
                <c:pt idx="6">
                  <c:v>1975</c:v>
                </c:pt>
                <c:pt idx="7">
                  <c:v>1976</c:v>
                </c:pt>
                <c:pt idx="8">
                  <c:v>1977</c:v>
                </c:pt>
                <c:pt idx="9">
                  <c:v>1978</c:v>
                </c:pt>
                <c:pt idx="10">
                  <c:v>1979</c:v>
                </c:pt>
                <c:pt idx="11">
                  <c:v>1980</c:v>
                </c:pt>
                <c:pt idx="12">
                  <c:v>1981</c:v>
                </c:pt>
                <c:pt idx="13">
                  <c:v>1982</c:v>
                </c:pt>
                <c:pt idx="14">
                  <c:v>1983</c:v>
                </c:pt>
                <c:pt idx="15">
                  <c:v>1984</c:v>
                </c:pt>
                <c:pt idx="16">
                  <c:v>1985</c:v>
                </c:pt>
                <c:pt idx="17">
                  <c:v>1986</c:v>
                </c:pt>
                <c:pt idx="18">
                  <c:v>1987</c:v>
                </c:pt>
                <c:pt idx="19">
                  <c:v>1988</c:v>
                </c:pt>
                <c:pt idx="20">
                  <c:v>1989</c:v>
                </c:pt>
                <c:pt idx="21">
                  <c:v>1990</c:v>
                </c:pt>
                <c:pt idx="22">
                  <c:v>1991</c:v>
                </c:pt>
                <c:pt idx="23">
                  <c:v>1992</c:v>
                </c:pt>
                <c:pt idx="24">
                  <c:v>1993</c:v>
                </c:pt>
                <c:pt idx="25">
                  <c:v>1994</c:v>
                </c:pt>
                <c:pt idx="26">
                  <c:v>1995</c:v>
                </c:pt>
                <c:pt idx="27">
                  <c:v>1996</c:v>
                </c:pt>
                <c:pt idx="28">
                  <c:v>1997</c:v>
                </c:pt>
                <c:pt idx="29">
                  <c:v>1998</c:v>
                </c:pt>
                <c:pt idx="30">
                  <c:v>1999</c:v>
                </c:pt>
                <c:pt idx="31">
                  <c:v>2000</c:v>
                </c:pt>
                <c:pt idx="32">
                  <c:v>2001</c:v>
                </c:pt>
                <c:pt idx="33">
                  <c:v>2002</c:v>
                </c:pt>
                <c:pt idx="34">
                  <c:v>2003</c:v>
                </c:pt>
                <c:pt idx="35">
                  <c:v>2004</c:v>
                </c:pt>
                <c:pt idx="36">
                  <c:v>2005</c:v>
                </c:pt>
                <c:pt idx="37">
                  <c:v>2006</c:v>
                </c:pt>
                <c:pt idx="38">
                  <c:v>2007</c:v>
                </c:pt>
                <c:pt idx="39">
                  <c:v>2008</c:v>
                </c:pt>
                <c:pt idx="40">
                  <c:v>2009</c:v>
                </c:pt>
                <c:pt idx="41">
                  <c:v>2010</c:v>
                </c:pt>
                <c:pt idx="42">
                  <c:v>2011</c:v>
                </c:pt>
                <c:pt idx="43">
                  <c:v>2012</c:v>
                </c:pt>
                <c:pt idx="44">
                  <c:v>2013</c:v>
                </c:pt>
                <c:pt idx="45">
                  <c:v>2014</c:v>
                </c:pt>
              </c:numCache>
            </c:numRef>
          </c:cat>
          <c:val>
            <c:numRef>
              <c:f>ln12xln11!$X$13:$X$58</c:f>
              <c:numCache>
                <c:formatCode>0.0%</c:formatCode>
                <c:ptCount val="46"/>
                <c:pt idx="0">
                  <c:v>-0.52935234533431852</c:v>
                </c:pt>
                <c:pt idx="1">
                  <c:v>-0.61582995470943824</c:v>
                </c:pt>
                <c:pt idx="2">
                  <c:v>1.0053415710893765</c:v>
                </c:pt>
                <c:pt idx="3">
                  <c:v>0.33511791735228447</c:v>
                </c:pt>
                <c:pt idx="4">
                  <c:v>0.93923184601061627</c:v>
                </c:pt>
                <c:pt idx="5">
                  <c:v>1.878637124586048</c:v>
                </c:pt>
                <c:pt idx="6">
                  <c:v>3.1377283860065264</c:v>
                </c:pt>
                <c:pt idx="7">
                  <c:v>0.32393182671019116</c:v>
                </c:pt>
                <c:pt idx="8">
                  <c:v>5.7856051516819482</c:v>
                </c:pt>
                <c:pt idx="9">
                  <c:v>0.38696996827025276</c:v>
                </c:pt>
                <c:pt idx="10">
                  <c:v>1.8202501076150677</c:v>
                </c:pt>
                <c:pt idx="11">
                  <c:v>0.17622009292715957</c:v>
                </c:pt>
                <c:pt idx="12">
                  <c:v>0.54774912790126651</c:v>
                </c:pt>
                <c:pt idx="13">
                  <c:v>-0.30852269960288597</c:v>
                </c:pt>
                <c:pt idx="14">
                  <c:v>-0.3539736532887145</c:v>
                </c:pt>
                <c:pt idx="15">
                  <c:v>0.15698259531761785</c:v>
                </c:pt>
                <c:pt idx="16">
                  <c:v>0.31508855380060102</c:v>
                </c:pt>
                <c:pt idx="17">
                  <c:v>-0.19357215221253735</c:v>
                </c:pt>
                <c:pt idx="18">
                  <c:v>1.049773910265589</c:v>
                </c:pt>
                <c:pt idx="19">
                  <c:v>-0.23946408982077222</c:v>
                </c:pt>
                <c:pt idx="20">
                  <c:v>4.6871316492466138E-4</c:v>
                </c:pt>
                <c:pt idx="21">
                  <c:v>-0.24847880452127458</c:v>
                </c:pt>
                <c:pt idx="22">
                  <c:v>0.12165778775294245</c:v>
                </c:pt>
                <c:pt idx="23">
                  <c:v>-4.2269418531475693E-2</c:v>
                </c:pt>
                <c:pt idx="24">
                  <c:v>-6.5097095127726406E-2</c:v>
                </c:pt>
                <c:pt idx="25">
                  <c:v>0.19431285055541203</c:v>
                </c:pt>
                <c:pt idx="26">
                  <c:v>-0.45808688348507476</c:v>
                </c:pt>
                <c:pt idx="27">
                  <c:v>-0.54313446268935095</c:v>
                </c:pt>
                <c:pt idx="28">
                  <c:v>-8.8530770698734607E-2</c:v>
                </c:pt>
                <c:pt idx="29">
                  <c:v>-1.1754092326553899E-2</c:v>
                </c:pt>
                <c:pt idx="30">
                  <c:v>8.401783029175558E-2</c:v>
                </c:pt>
                <c:pt idx="31">
                  <c:v>1.9804342556726269</c:v>
                </c:pt>
                <c:pt idx="32">
                  <c:v>1.1648685830654257</c:v>
                </c:pt>
                <c:pt idx="33">
                  <c:v>-0.38363856379105477</c:v>
                </c:pt>
                <c:pt idx="34">
                  <c:v>-0.22254751360862232</c:v>
                </c:pt>
                <c:pt idx="35">
                  <c:v>-0.56061723301034161</c:v>
                </c:pt>
                <c:pt idx="36">
                  <c:v>-0.18605332132133096</c:v>
                </c:pt>
                <c:pt idx="37">
                  <c:v>-0.486352472822277</c:v>
                </c:pt>
                <c:pt idx="38">
                  <c:v>0.44218132784778486</c:v>
                </c:pt>
                <c:pt idx="39">
                  <c:v>1.3215646230467726</c:v>
                </c:pt>
                <c:pt idx="40">
                  <c:v>-0.44887777403050283</c:v>
                </c:pt>
                <c:pt idx="41">
                  <c:v>-0.55611914983557231</c:v>
                </c:pt>
                <c:pt idx="42">
                  <c:v>-0.52950579889981664</c:v>
                </c:pt>
                <c:pt idx="43">
                  <c:v>-0.61378971310019514</c:v>
                </c:pt>
                <c:pt idx="44">
                  <c:v>-0.70848449499852428</c:v>
                </c:pt>
                <c:pt idx="45">
                  <c:v>-0.74577316625337009</c:v>
                </c:pt>
              </c:numCache>
            </c:numRef>
          </c:val>
          <c:smooth val="0"/>
        </c:ser>
        <c:dLbls>
          <c:showLegendKey val="0"/>
          <c:showVal val="0"/>
          <c:showCatName val="0"/>
          <c:showSerName val="0"/>
          <c:showPercent val="0"/>
          <c:showBubbleSize val="0"/>
        </c:dLbls>
        <c:marker val="1"/>
        <c:smooth val="0"/>
        <c:axId val="353650176"/>
        <c:axId val="353657600"/>
      </c:lineChart>
      <c:catAx>
        <c:axId val="353650176"/>
        <c:scaling>
          <c:orientation val="minMax"/>
        </c:scaling>
        <c:delete val="0"/>
        <c:axPos val="b"/>
        <c:title>
          <c:tx>
            <c:rich>
              <a:bodyPr/>
              <a:lstStyle/>
              <a:p>
                <a:pPr>
                  <a:defRPr sz="1200" b="1" i="0" u="none" strike="noStrike" baseline="0">
                    <a:solidFill>
                      <a:srgbClr val="000000"/>
                    </a:solidFill>
                    <a:latin typeface="Arial"/>
                    <a:ea typeface="Arial"/>
                    <a:cs typeface="Arial"/>
                  </a:defRPr>
                </a:pPr>
                <a:r>
                  <a:rPr lang="en-US"/>
                  <a:t>Return Year</a:t>
                </a:r>
              </a:p>
            </c:rich>
          </c:tx>
          <c:layout>
            <c:manualLayout>
              <c:xMode val="edge"/>
              <c:yMode val="edge"/>
              <c:x val="0.50632937971361158"/>
              <c:y val="0.89130434782608658"/>
            </c:manualLayout>
          </c:layout>
          <c:overlay val="0"/>
          <c:spPr>
            <a:noFill/>
            <a:ln w="25400">
              <a:noFill/>
            </a:ln>
          </c:spPr>
        </c:title>
        <c:numFmt formatCode="0_)" sourceLinked="1"/>
        <c:majorTickMark val="out"/>
        <c:minorTickMark val="none"/>
        <c:tickLblPos val="low"/>
        <c:spPr>
          <a:ln w="3175">
            <a:solidFill>
              <a:srgbClr val="000000"/>
            </a:solidFill>
            <a:prstDash val="solid"/>
          </a:ln>
        </c:spPr>
        <c:txPr>
          <a:bodyPr rot="-2700000" vert="horz"/>
          <a:lstStyle/>
          <a:p>
            <a:pPr>
              <a:defRPr sz="1150" b="0" i="0" u="none" strike="noStrike" baseline="0">
                <a:solidFill>
                  <a:srgbClr val="000000"/>
                </a:solidFill>
                <a:latin typeface="Arial"/>
                <a:ea typeface="Arial"/>
                <a:cs typeface="Arial"/>
              </a:defRPr>
            </a:pPr>
            <a:endParaRPr lang="en-US"/>
          </a:p>
        </c:txPr>
        <c:crossAx val="353657600"/>
        <c:crosses val="autoZero"/>
        <c:auto val="1"/>
        <c:lblAlgn val="ctr"/>
        <c:lblOffset val="100"/>
        <c:tickLblSkip val="2"/>
        <c:tickMarkSkip val="1"/>
        <c:noMultiLvlLbl val="0"/>
      </c:catAx>
      <c:valAx>
        <c:axId val="353657600"/>
        <c:scaling>
          <c:orientation val="minMax"/>
        </c:scaling>
        <c:delete val="0"/>
        <c:axPos val="l"/>
        <c:title>
          <c:tx>
            <c:rich>
              <a:bodyPr/>
              <a:lstStyle/>
              <a:p>
                <a:pPr>
                  <a:defRPr sz="1200" b="1" i="0" u="none" strike="noStrike" baseline="0">
                    <a:solidFill>
                      <a:srgbClr val="000000"/>
                    </a:solidFill>
                    <a:latin typeface="Arial"/>
                    <a:ea typeface="Arial"/>
                    <a:cs typeface="Arial"/>
                  </a:defRPr>
                </a:pPr>
                <a:r>
                  <a:rPr lang="en-US"/>
                  <a:t>Leaving one out % Error</a:t>
                </a:r>
              </a:p>
            </c:rich>
          </c:tx>
          <c:layout>
            <c:manualLayout>
              <c:xMode val="edge"/>
              <c:yMode val="edge"/>
              <c:x val="1.5189873417721525E-2"/>
              <c:y val="0.15217391304347827"/>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53650176"/>
        <c:crosses val="autoZero"/>
        <c:crossBetween val="between"/>
      </c:valAx>
      <c:spPr>
        <a:solidFill>
          <a:srgbClr val="FFFFFF"/>
        </a:solidFill>
        <a:ln w="25400">
          <a:noFill/>
        </a:ln>
      </c:spPr>
    </c:plotArea>
    <c:legend>
      <c:legendPos val="r"/>
      <c:layout>
        <c:manualLayout>
          <c:xMode val="edge"/>
          <c:yMode val="edge"/>
          <c:x val="0.67721558855775943"/>
          <c:y val="0.17934782608695651"/>
          <c:w val="0.17721532276819968"/>
          <c:h val="0.13315217391304204"/>
        </c:manualLayout>
      </c:layout>
      <c:overlay val="0"/>
      <c:spPr>
        <a:solidFill>
          <a:srgbClr val="FFFFFF"/>
        </a:solidFill>
        <a:ln w="25400">
          <a:noFill/>
        </a:ln>
      </c:spPr>
      <c:txPr>
        <a:bodyPr/>
        <a:lstStyle/>
        <a:p>
          <a:pPr>
            <a:defRPr sz="10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455" r="0.75000000000000455" t="1" header="0.5" footer="0.5"/>
    <c:pageSetup orientation="landscape"/>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664981036662494"/>
          <c:y val="7.5880959627370292E-2"/>
          <c:w val="0.84197218710493049"/>
          <c:h val="0.67479853382912436"/>
        </c:manualLayout>
      </c:layout>
      <c:lineChart>
        <c:grouping val="standard"/>
        <c:varyColors val="0"/>
        <c:ser>
          <c:idx val="0"/>
          <c:order val="0"/>
          <c:tx>
            <c:v>Ln1.3rps=BYE</c:v>
          </c:tx>
          <c:spPr>
            <a:ln w="12700">
              <a:solidFill>
                <a:srgbClr val="000000"/>
              </a:solidFill>
              <a:prstDash val="solid"/>
            </a:ln>
          </c:spPr>
          <c:marker>
            <c:symbol val="diamond"/>
            <c:size val="5"/>
            <c:spPr>
              <a:solidFill>
                <a:srgbClr val="FFFFFF"/>
              </a:solidFill>
              <a:ln>
                <a:solidFill>
                  <a:srgbClr val="000080"/>
                </a:solidFill>
                <a:prstDash val="solid"/>
              </a:ln>
            </c:spPr>
          </c:marker>
          <c:cat>
            <c:numRef>
              <c:f>ln13rpsxBYE!$B$13:$B$60</c:f>
              <c:numCache>
                <c:formatCode>0_)</c:formatCode>
                <c:ptCount val="48"/>
                <c:pt idx="0">
                  <c:v>1967</c:v>
                </c:pt>
                <c:pt idx="1">
                  <c:v>1968</c:v>
                </c:pt>
                <c:pt idx="2">
                  <c:v>1969</c:v>
                </c:pt>
                <c:pt idx="3">
                  <c:v>1970</c:v>
                </c:pt>
                <c:pt idx="4">
                  <c:v>1971</c:v>
                </c:pt>
                <c:pt idx="5">
                  <c:v>1972</c:v>
                </c:pt>
                <c:pt idx="6">
                  <c:v>1973</c:v>
                </c:pt>
                <c:pt idx="7">
                  <c:v>1974</c:v>
                </c:pt>
                <c:pt idx="8">
                  <c:v>1975</c:v>
                </c:pt>
                <c:pt idx="9">
                  <c:v>1976</c:v>
                </c:pt>
                <c:pt idx="10">
                  <c:v>1977</c:v>
                </c:pt>
                <c:pt idx="11">
                  <c:v>1978</c:v>
                </c:pt>
                <c:pt idx="12">
                  <c:v>1979</c:v>
                </c:pt>
                <c:pt idx="13">
                  <c:v>1980</c:v>
                </c:pt>
                <c:pt idx="14">
                  <c:v>1981</c:v>
                </c:pt>
                <c:pt idx="15">
                  <c:v>1982</c:v>
                </c:pt>
                <c:pt idx="16">
                  <c:v>1983</c:v>
                </c:pt>
                <c:pt idx="17">
                  <c:v>1984</c:v>
                </c:pt>
                <c:pt idx="18">
                  <c:v>1985</c:v>
                </c:pt>
                <c:pt idx="19">
                  <c:v>1986</c:v>
                </c:pt>
                <c:pt idx="20">
                  <c:v>1987</c:v>
                </c:pt>
                <c:pt idx="21">
                  <c:v>1988</c:v>
                </c:pt>
                <c:pt idx="22">
                  <c:v>1989</c:v>
                </c:pt>
                <c:pt idx="23">
                  <c:v>1990</c:v>
                </c:pt>
                <c:pt idx="24">
                  <c:v>1991</c:v>
                </c:pt>
                <c:pt idx="25">
                  <c:v>1992</c:v>
                </c:pt>
                <c:pt idx="26">
                  <c:v>1993</c:v>
                </c:pt>
                <c:pt idx="27">
                  <c:v>1994</c:v>
                </c:pt>
                <c:pt idx="28">
                  <c:v>1995</c:v>
                </c:pt>
                <c:pt idx="29">
                  <c:v>1996</c:v>
                </c:pt>
                <c:pt idx="30">
                  <c:v>1997</c:v>
                </c:pt>
                <c:pt idx="31">
                  <c:v>1998</c:v>
                </c:pt>
                <c:pt idx="32">
                  <c:v>1999</c:v>
                </c:pt>
                <c:pt idx="33">
                  <c:v>2000</c:v>
                </c:pt>
                <c:pt idx="34">
                  <c:v>2001</c:v>
                </c:pt>
                <c:pt idx="35">
                  <c:v>2002</c:v>
                </c:pt>
                <c:pt idx="36">
                  <c:v>2003</c:v>
                </c:pt>
                <c:pt idx="37">
                  <c:v>2004</c:v>
                </c:pt>
                <c:pt idx="38">
                  <c:v>2005</c:v>
                </c:pt>
                <c:pt idx="39">
                  <c:v>2006</c:v>
                </c:pt>
                <c:pt idx="40">
                  <c:v>2007</c:v>
                </c:pt>
                <c:pt idx="41">
                  <c:v>2008</c:v>
                </c:pt>
                <c:pt idx="42">
                  <c:v>2009</c:v>
                </c:pt>
                <c:pt idx="43">
                  <c:v>2010</c:v>
                </c:pt>
                <c:pt idx="44">
                  <c:v>2011</c:v>
                </c:pt>
                <c:pt idx="45">
                  <c:v>2012</c:v>
                </c:pt>
                <c:pt idx="46">
                  <c:v>2013</c:v>
                </c:pt>
                <c:pt idx="47">
                  <c:v>2014</c:v>
                </c:pt>
              </c:numCache>
            </c:numRef>
          </c:cat>
          <c:val>
            <c:numRef>
              <c:f>ln13rpsxBYE!$X$13:$X$60</c:f>
              <c:numCache>
                <c:formatCode>0.0%</c:formatCode>
                <c:ptCount val="48"/>
                <c:pt idx="0">
                  <c:v>0.68984325038075867</c:v>
                </c:pt>
                <c:pt idx="1">
                  <c:v>0.44291547232802336</c:v>
                </c:pt>
                <c:pt idx="2">
                  <c:v>-0.27673518346860615</c:v>
                </c:pt>
                <c:pt idx="3">
                  <c:v>-0.23422224112070486</c:v>
                </c:pt>
                <c:pt idx="4">
                  <c:v>-1.6007590717896616E-2</c:v>
                </c:pt>
                <c:pt idx="5">
                  <c:v>-0.42105802853213226</c:v>
                </c:pt>
                <c:pt idx="6">
                  <c:v>5.1255277939133356E-2</c:v>
                </c:pt>
                <c:pt idx="7">
                  <c:v>0.69390550314733757</c:v>
                </c:pt>
                <c:pt idx="8">
                  <c:v>1.4024160271003148</c:v>
                </c:pt>
                <c:pt idx="9">
                  <c:v>0.20159476967773637</c:v>
                </c:pt>
                <c:pt idx="10">
                  <c:v>9.3236455098045873E-2</c:v>
                </c:pt>
                <c:pt idx="11">
                  <c:v>2.3176034964314827</c:v>
                </c:pt>
                <c:pt idx="12">
                  <c:v>0.31251246513165187</c:v>
                </c:pt>
                <c:pt idx="13">
                  <c:v>0.19759753383736217</c:v>
                </c:pt>
                <c:pt idx="14">
                  <c:v>-0.29342344371848378</c:v>
                </c:pt>
                <c:pt idx="15">
                  <c:v>-0.38648059420909914</c:v>
                </c:pt>
                <c:pt idx="16">
                  <c:v>-0.25739485465541057</c:v>
                </c:pt>
                <c:pt idx="17">
                  <c:v>-0.2691391824705498</c:v>
                </c:pt>
                <c:pt idx="18">
                  <c:v>0.1006609335477396</c:v>
                </c:pt>
                <c:pt idx="19">
                  <c:v>0.78283176169539581</c:v>
                </c:pt>
                <c:pt idx="20">
                  <c:v>-0.16130541840994994</c:v>
                </c:pt>
                <c:pt idx="21">
                  <c:v>1.3186586654094667</c:v>
                </c:pt>
                <c:pt idx="22">
                  <c:v>0.29043069806638672</c:v>
                </c:pt>
                <c:pt idx="23">
                  <c:v>0.86443364427491098</c:v>
                </c:pt>
                <c:pt idx="24">
                  <c:v>-0.18887922158200132</c:v>
                </c:pt>
                <c:pt idx="25">
                  <c:v>-2.7763156270386901E-2</c:v>
                </c:pt>
                <c:pt idx="26">
                  <c:v>-0.22643664504465272</c:v>
                </c:pt>
                <c:pt idx="27">
                  <c:v>-0.16140468544530215</c:v>
                </c:pt>
                <c:pt idx="28">
                  <c:v>9.1975309362364699E-2</c:v>
                </c:pt>
                <c:pt idx="29">
                  <c:v>-0.44957127640490463</c:v>
                </c:pt>
                <c:pt idx="30">
                  <c:v>-0.55209064098850902</c:v>
                </c:pt>
                <c:pt idx="31">
                  <c:v>6.2928049769363378E-2</c:v>
                </c:pt>
                <c:pt idx="32">
                  <c:v>-5.5028307101370424E-2</c:v>
                </c:pt>
                <c:pt idx="33">
                  <c:v>0.15499979024819652</c:v>
                </c:pt>
                <c:pt idx="34">
                  <c:v>-0.29247128038720838</c:v>
                </c:pt>
                <c:pt idx="35">
                  <c:v>4.4190845323222219E-2</c:v>
                </c:pt>
                <c:pt idx="36">
                  <c:v>-0.15792171337522964</c:v>
                </c:pt>
                <c:pt idx="37">
                  <c:v>0.18854428705526846</c:v>
                </c:pt>
                <c:pt idx="38">
                  <c:v>-0.25168707550913927</c:v>
                </c:pt>
                <c:pt idx="39">
                  <c:v>-0.19089695941476181</c:v>
                </c:pt>
                <c:pt idx="40">
                  <c:v>-0.47610211239476274</c:v>
                </c:pt>
                <c:pt idx="41">
                  <c:v>0.50248164508283133</c:v>
                </c:pt>
                <c:pt idx="42">
                  <c:v>0.20314645915356336</c:v>
                </c:pt>
                <c:pt idx="43">
                  <c:v>0.61566840333467543</c:v>
                </c:pt>
                <c:pt idx="44">
                  <c:v>-0.33116957449683354</c:v>
                </c:pt>
                <c:pt idx="45">
                  <c:v>-0.41405869485143276</c:v>
                </c:pt>
                <c:pt idx="46">
                  <c:v>-0.22598330022308097</c:v>
                </c:pt>
                <c:pt idx="47">
                  <c:v>-0.39828093422435684</c:v>
                </c:pt>
              </c:numCache>
            </c:numRef>
          </c:val>
          <c:smooth val="0"/>
        </c:ser>
        <c:ser>
          <c:idx val="1"/>
          <c:order val="1"/>
          <c:tx>
            <c:v>Ln1.3=Ln1.2</c:v>
          </c:tx>
          <c:spPr>
            <a:ln w="38100">
              <a:solidFill>
                <a:srgbClr val="000000"/>
              </a:solidFill>
              <a:prstDash val="solid"/>
            </a:ln>
          </c:spPr>
          <c:marker>
            <c:symbol val="square"/>
            <c:size val="5"/>
            <c:spPr>
              <a:solidFill>
                <a:srgbClr val="FFFFFF"/>
              </a:solidFill>
              <a:ln>
                <a:solidFill>
                  <a:srgbClr val="000000"/>
                </a:solidFill>
                <a:prstDash val="solid"/>
              </a:ln>
            </c:spPr>
          </c:marker>
          <c:val>
            <c:numRef>
              <c:f>ln13xln12!$X$13:$X$60</c:f>
              <c:numCache>
                <c:formatCode>0.0%</c:formatCode>
                <c:ptCount val="48"/>
                <c:pt idx="0">
                  <c:v>0.2570464815522191</c:v>
                </c:pt>
                <c:pt idx="1">
                  <c:v>0.40671451962063065</c:v>
                </c:pt>
                <c:pt idx="2">
                  <c:v>0.43421339512408086</c:v>
                </c:pt>
                <c:pt idx="3">
                  <c:v>0.22838048745199807</c:v>
                </c:pt>
                <c:pt idx="4">
                  <c:v>0.37860533903899041</c:v>
                </c:pt>
                <c:pt idx="5">
                  <c:v>-4.0939913862405773E-2</c:v>
                </c:pt>
                <c:pt idx="6">
                  <c:v>0.42264180034387189</c:v>
                </c:pt>
                <c:pt idx="7">
                  <c:v>9.2665084947385068E-2</c:v>
                </c:pt>
                <c:pt idx="8">
                  <c:v>0.88799962790613796</c:v>
                </c:pt>
                <c:pt idx="9">
                  <c:v>-0.53795961076110099</c:v>
                </c:pt>
                <c:pt idx="10">
                  <c:v>-3.3402620145617075E-2</c:v>
                </c:pt>
                <c:pt idx="11">
                  <c:v>0.33533473572752515</c:v>
                </c:pt>
                <c:pt idx="12">
                  <c:v>0.97634179127913667</c:v>
                </c:pt>
                <c:pt idx="13">
                  <c:v>0.42480002318309645</c:v>
                </c:pt>
                <c:pt idx="14">
                  <c:v>1.8898080438404543E-2</c:v>
                </c:pt>
                <c:pt idx="15">
                  <c:v>-0.41430179216319379</c:v>
                </c:pt>
                <c:pt idx="16">
                  <c:v>0.65034286655652906</c:v>
                </c:pt>
                <c:pt idx="17">
                  <c:v>-9.1281425443788394E-2</c:v>
                </c:pt>
                <c:pt idx="18">
                  <c:v>-5.2762143854607362E-2</c:v>
                </c:pt>
                <c:pt idx="19">
                  <c:v>0.19459914121606967</c:v>
                </c:pt>
                <c:pt idx="20">
                  <c:v>-0.12846903002745488</c:v>
                </c:pt>
                <c:pt idx="21">
                  <c:v>0.38918314372278595</c:v>
                </c:pt>
                <c:pt idx="22">
                  <c:v>0.18580932595858565</c:v>
                </c:pt>
                <c:pt idx="23">
                  <c:v>0.70189428366995532</c:v>
                </c:pt>
                <c:pt idx="24">
                  <c:v>-9.4835045567429541E-2</c:v>
                </c:pt>
                <c:pt idx="25">
                  <c:v>-2.0477096963869342E-2</c:v>
                </c:pt>
                <c:pt idx="26">
                  <c:v>-0.19752946594970525</c:v>
                </c:pt>
                <c:pt idx="27">
                  <c:v>-0.17855639192545752</c:v>
                </c:pt>
                <c:pt idx="28">
                  <c:v>-5.0213905604574657E-2</c:v>
                </c:pt>
                <c:pt idx="29">
                  <c:v>-0.27105124229374533</c:v>
                </c:pt>
                <c:pt idx="30">
                  <c:v>-0.3659565830065632</c:v>
                </c:pt>
                <c:pt idx="31">
                  <c:v>-1.7347453952349788E-2</c:v>
                </c:pt>
                <c:pt idx="32">
                  <c:v>-5.8744813231411848E-2</c:v>
                </c:pt>
                <c:pt idx="33">
                  <c:v>0.10891319155401147</c:v>
                </c:pt>
                <c:pt idx="34">
                  <c:v>-0.66551617589345602</c:v>
                </c:pt>
                <c:pt idx="35">
                  <c:v>-0.46177970130319229</c:v>
                </c:pt>
                <c:pt idx="36">
                  <c:v>-4.3245674148800546E-2</c:v>
                </c:pt>
                <c:pt idx="37">
                  <c:v>0.15699935234591553</c:v>
                </c:pt>
                <c:pt idx="38">
                  <c:v>9.9476515441523347E-2</c:v>
                </c:pt>
                <c:pt idx="39">
                  <c:v>-0.24580803036651802</c:v>
                </c:pt>
                <c:pt idx="40">
                  <c:v>-0.40002113905941833</c:v>
                </c:pt>
                <c:pt idx="41">
                  <c:v>4.6084394436184908E-2</c:v>
                </c:pt>
                <c:pt idx="42">
                  <c:v>-0.26389023310915016</c:v>
                </c:pt>
                <c:pt idx="43">
                  <c:v>0.82089652319157391</c:v>
                </c:pt>
                <c:pt idx="44">
                  <c:v>-0.23726834552013376</c:v>
                </c:pt>
                <c:pt idx="45">
                  <c:v>-0.30510066734602048</c:v>
                </c:pt>
                <c:pt idx="46">
                  <c:v>1.1173852207732232E-2</c:v>
                </c:pt>
                <c:pt idx="47">
                  <c:v>-0.99999939032446561</c:v>
                </c:pt>
              </c:numCache>
            </c:numRef>
          </c:val>
          <c:smooth val="0"/>
        </c:ser>
        <c:ser>
          <c:idx val="2"/>
          <c:order val="2"/>
          <c:tx>
            <c:v>Ln1.3=Ln0.3</c:v>
          </c:tx>
          <c:spPr>
            <a:ln w="12700">
              <a:solidFill>
                <a:srgbClr val="000000"/>
              </a:solidFill>
              <a:prstDash val="sysDash"/>
            </a:ln>
          </c:spPr>
          <c:marker>
            <c:symbol val="triangle"/>
            <c:size val="5"/>
            <c:spPr>
              <a:solidFill>
                <a:srgbClr val="000000"/>
              </a:solidFill>
              <a:ln>
                <a:solidFill>
                  <a:srgbClr val="000000"/>
                </a:solidFill>
                <a:prstDash val="solid"/>
              </a:ln>
            </c:spPr>
          </c:marker>
          <c:val>
            <c:numRef>
              <c:f>ln13xln03!$X$13:$X$60</c:f>
              <c:numCache>
                <c:formatCode>0.0%</c:formatCode>
                <c:ptCount val="48"/>
                <c:pt idx="0">
                  <c:v>0.82803005859860956</c:v>
                </c:pt>
                <c:pt idx="1">
                  <c:v>0.55334368425945224</c:v>
                </c:pt>
                <c:pt idx="2">
                  <c:v>-6.9393780627157967E-2</c:v>
                </c:pt>
                <c:pt idx="3">
                  <c:v>-0.61115257657236655</c:v>
                </c:pt>
                <c:pt idx="4">
                  <c:v>-0.17638170090881142</c:v>
                </c:pt>
                <c:pt idx="5">
                  <c:v>-3.392576643016245E-2</c:v>
                </c:pt>
                <c:pt idx="6">
                  <c:v>0.51835059300089481</c:v>
                </c:pt>
                <c:pt idx="7">
                  <c:v>0.47543370742600011</c:v>
                </c:pt>
                <c:pt idx="8">
                  <c:v>1.3850180628842448</c:v>
                </c:pt>
                <c:pt idx="9">
                  <c:v>-0.25580360123571294</c:v>
                </c:pt>
                <c:pt idx="10">
                  <c:v>6.5517262921165912E-3</c:v>
                </c:pt>
                <c:pt idx="11">
                  <c:v>2.2532287762965</c:v>
                </c:pt>
                <c:pt idx="12">
                  <c:v>0.84634343786887378</c:v>
                </c:pt>
                <c:pt idx="13">
                  <c:v>1.0848315237165371</c:v>
                </c:pt>
                <c:pt idx="14">
                  <c:v>-0.1568323121286159</c:v>
                </c:pt>
                <c:pt idx="15">
                  <c:v>-0.10031678442712105</c:v>
                </c:pt>
                <c:pt idx="16">
                  <c:v>0.25043396111702676</c:v>
                </c:pt>
                <c:pt idx="17">
                  <c:v>-0.24431208910443875</c:v>
                </c:pt>
                <c:pt idx="18">
                  <c:v>-0.15458877127548276</c:v>
                </c:pt>
                <c:pt idx="19">
                  <c:v>0.5814443651948934</c:v>
                </c:pt>
                <c:pt idx="20">
                  <c:v>-0.15857720429933528</c:v>
                </c:pt>
                <c:pt idx="21">
                  <c:v>1.1821421627887914</c:v>
                </c:pt>
                <c:pt idx="22">
                  <c:v>9.5743969420612238E-2</c:v>
                </c:pt>
                <c:pt idx="23">
                  <c:v>0.63141648735110834</c:v>
                </c:pt>
                <c:pt idx="24">
                  <c:v>-4.0365548011698525E-2</c:v>
                </c:pt>
                <c:pt idx="25">
                  <c:v>0.10384644389435327</c:v>
                </c:pt>
                <c:pt idx="26">
                  <c:v>-0.18003405017616314</c:v>
                </c:pt>
                <c:pt idx="27">
                  <c:v>-6.8029269568480794E-2</c:v>
                </c:pt>
                <c:pt idx="28">
                  <c:v>0.13510857578059204</c:v>
                </c:pt>
                <c:pt idx="29">
                  <c:v>-0.4544660198421086</c:v>
                </c:pt>
                <c:pt idx="30">
                  <c:v>-0.54323708314430008</c:v>
                </c:pt>
                <c:pt idx="31">
                  <c:v>0.35039634165560934</c:v>
                </c:pt>
                <c:pt idx="32">
                  <c:v>-7.2956390112601244E-2</c:v>
                </c:pt>
                <c:pt idx="33">
                  <c:v>0.20665823376584419</c:v>
                </c:pt>
                <c:pt idx="34">
                  <c:v>-0.37519743631318231</c:v>
                </c:pt>
                <c:pt idx="35">
                  <c:v>-5.6029377389099841E-2</c:v>
                </c:pt>
                <c:pt idx="36">
                  <c:v>-0.25463223210024305</c:v>
                </c:pt>
                <c:pt idx="37">
                  <c:v>7.137078133361896E-2</c:v>
                </c:pt>
                <c:pt idx="38">
                  <c:v>-0.23199664854689703</c:v>
                </c:pt>
                <c:pt idx="39">
                  <c:v>-0.22300025315862973</c:v>
                </c:pt>
                <c:pt idx="40">
                  <c:v>-0.54628421529023141</c:v>
                </c:pt>
                <c:pt idx="41">
                  <c:v>0.3862064210900627</c:v>
                </c:pt>
                <c:pt idx="42">
                  <c:v>-7.0898924193317767E-2</c:v>
                </c:pt>
                <c:pt idx="43">
                  <c:v>0.38083788879987318</c:v>
                </c:pt>
                <c:pt idx="44">
                  <c:v>-0.51732571421850493</c:v>
                </c:pt>
                <c:pt idx="45">
                  <c:v>-0.48247237363343581</c:v>
                </c:pt>
                <c:pt idx="46">
                  <c:v>-0.29141518652512771</c:v>
                </c:pt>
                <c:pt idx="47">
                  <c:v>-0.5205868874262829</c:v>
                </c:pt>
              </c:numCache>
            </c:numRef>
          </c:val>
          <c:smooth val="0"/>
        </c:ser>
        <c:ser>
          <c:idx val="3"/>
          <c:order val="3"/>
          <c:tx>
            <c:v>1.3=1.2</c:v>
          </c:tx>
          <c:spPr>
            <a:ln w="12700">
              <a:pattFill prst="pct50">
                <a:fgClr>
                  <a:srgbClr val="000000"/>
                </a:fgClr>
                <a:bgClr>
                  <a:srgbClr val="FFFFFF"/>
                </a:bgClr>
              </a:pattFill>
              <a:prstDash val="solid"/>
            </a:ln>
          </c:spPr>
          <c:marker>
            <c:symbol val="x"/>
            <c:size val="5"/>
            <c:spPr>
              <a:noFill/>
              <a:ln>
                <a:solidFill>
                  <a:srgbClr val="000000"/>
                </a:solidFill>
                <a:prstDash val="solid"/>
              </a:ln>
            </c:spPr>
          </c:marker>
          <c:val>
            <c:numRef>
              <c:f>'13 x 12'!$S$13:$S$60</c:f>
              <c:numCache>
                <c:formatCode>0.0%</c:formatCode>
                <c:ptCount val="48"/>
                <c:pt idx="0">
                  <c:v>0.32211549244742516</c:v>
                </c:pt>
                <c:pt idx="1">
                  <c:v>0.48798197720280589</c:v>
                </c:pt>
                <c:pt idx="2">
                  <c:v>0.46794856978366939</c:v>
                </c:pt>
                <c:pt idx="3">
                  <c:v>0.31288678288530325</c:v>
                </c:pt>
                <c:pt idx="4">
                  <c:v>0.41761333707789244</c:v>
                </c:pt>
                <c:pt idx="5">
                  <c:v>1.8896532639685767E-2</c:v>
                </c:pt>
                <c:pt idx="6">
                  <c:v>0.43988746604923207</c:v>
                </c:pt>
                <c:pt idx="7">
                  <c:v>0.1521172202060351</c:v>
                </c:pt>
                <c:pt idx="8">
                  <c:v>1.0299638539997948</c:v>
                </c:pt>
                <c:pt idx="9">
                  <c:v>-0.39261809563247946</c:v>
                </c:pt>
                <c:pt idx="10">
                  <c:v>-1.9071469916296064E-2</c:v>
                </c:pt>
                <c:pt idx="11">
                  <c:v>0.90753352704987822</c:v>
                </c:pt>
                <c:pt idx="12">
                  <c:v>0.98926932652403088</c:v>
                </c:pt>
                <c:pt idx="13">
                  <c:v>0.60795010707527397</c:v>
                </c:pt>
                <c:pt idx="14">
                  <c:v>2.3107930771413147E-2</c:v>
                </c:pt>
                <c:pt idx="15">
                  <c:v>-0.40875447306113327</c:v>
                </c:pt>
                <c:pt idx="16">
                  <c:v>0.73491859195428044</c:v>
                </c:pt>
                <c:pt idx="17">
                  <c:v>-4.5275802526374469E-2</c:v>
                </c:pt>
                <c:pt idx="18">
                  <c:v>-4.9386110311826374E-2</c:v>
                </c:pt>
                <c:pt idx="19">
                  <c:v>0.20433068835947346</c:v>
                </c:pt>
                <c:pt idx="20">
                  <c:v>-0.10447012142456834</c:v>
                </c:pt>
                <c:pt idx="21">
                  <c:v>0.43900003065520687</c:v>
                </c:pt>
                <c:pt idx="22">
                  <c:v>0.21767639564063107</c:v>
                </c:pt>
                <c:pt idx="23">
                  <c:v>0.71386901251325696</c:v>
                </c:pt>
                <c:pt idx="24">
                  <c:v>-7.289790620065445E-2</c:v>
                </c:pt>
                <c:pt idx="25">
                  <c:v>-1.2819149886607201E-2</c:v>
                </c:pt>
                <c:pt idx="26">
                  <c:v>-0.18996937012588394</c:v>
                </c:pt>
                <c:pt idx="27">
                  <c:v>-0.16799221781450796</c:v>
                </c:pt>
                <c:pt idx="28">
                  <c:v>-4.603118772055427E-2</c:v>
                </c:pt>
                <c:pt idx="29">
                  <c:v>-0.20219829486230992</c:v>
                </c:pt>
                <c:pt idx="30">
                  <c:v>-0.29411102389786981</c:v>
                </c:pt>
                <c:pt idx="31">
                  <c:v>-5.3852593849133554E-3</c:v>
                </c:pt>
                <c:pt idx="32">
                  <c:v>-4.0136395077749069E-2</c:v>
                </c:pt>
                <c:pt idx="33">
                  <c:v>0.11523188827101269</c:v>
                </c:pt>
                <c:pt idx="34">
                  <c:v>-0.63377790058594019</c:v>
                </c:pt>
                <c:pt idx="35">
                  <c:v>-0.43596112016418137</c:v>
                </c:pt>
                <c:pt idx="36">
                  <c:v>1.0738816582800919E-2</c:v>
                </c:pt>
                <c:pt idx="37">
                  <c:v>0.17902842490167573</c:v>
                </c:pt>
                <c:pt idx="38">
                  <c:v>0.25102573564215119</c:v>
                </c:pt>
                <c:pt idx="39">
                  <c:v>-0.23435831437820459</c:v>
                </c:pt>
                <c:pt idx="40">
                  <c:v>-0.35817742014835863</c:v>
                </c:pt>
                <c:pt idx="41">
                  <c:v>5.9546271855536889E-2</c:v>
                </c:pt>
                <c:pt idx="42">
                  <c:v>-0.22688467608041729</c:v>
                </c:pt>
                <c:pt idx="43">
                  <c:v>0.90112341941297402</c:v>
                </c:pt>
                <c:pt idx="44">
                  <c:v>-0.17663300777121999</c:v>
                </c:pt>
                <c:pt idx="45">
                  <c:v>-0.24096310423112971</c:v>
                </c:pt>
                <c:pt idx="46">
                  <c:v>0.12047775640080287</c:v>
                </c:pt>
                <c:pt idx="47">
                  <c:v>1.1784650871423377</c:v>
                </c:pt>
              </c:numCache>
            </c:numRef>
          </c:val>
          <c:smooth val="0"/>
        </c:ser>
        <c:dLbls>
          <c:showLegendKey val="0"/>
          <c:showVal val="0"/>
          <c:showCatName val="0"/>
          <c:showSerName val="0"/>
          <c:showPercent val="0"/>
          <c:showBubbleSize val="0"/>
        </c:dLbls>
        <c:marker val="1"/>
        <c:smooth val="0"/>
        <c:axId val="352190848"/>
        <c:axId val="352193536"/>
      </c:lineChart>
      <c:catAx>
        <c:axId val="352190848"/>
        <c:scaling>
          <c:orientation val="minMax"/>
        </c:scaling>
        <c:delete val="0"/>
        <c:axPos val="b"/>
        <c:title>
          <c:tx>
            <c:rich>
              <a:bodyPr/>
              <a:lstStyle/>
              <a:p>
                <a:pPr>
                  <a:defRPr sz="1200" b="1" i="0" u="none" strike="noStrike" baseline="0">
                    <a:solidFill>
                      <a:srgbClr val="000000"/>
                    </a:solidFill>
                    <a:latin typeface="Arial"/>
                    <a:ea typeface="Arial"/>
                    <a:cs typeface="Arial"/>
                  </a:defRPr>
                </a:pPr>
                <a:r>
                  <a:rPr lang="en-US"/>
                  <a:t>Return Year</a:t>
                </a:r>
              </a:p>
            </c:rich>
          </c:tx>
          <c:layout>
            <c:manualLayout>
              <c:xMode val="edge"/>
              <c:yMode val="edge"/>
              <c:x val="0.5069532237673825"/>
              <c:y val="0.89160119212740685"/>
            </c:manualLayout>
          </c:layout>
          <c:overlay val="0"/>
          <c:spPr>
            <a:noFill/>
            <a:ln w="25400">
              <a:noFill/>
            </a:ln>
          </c:spPr>
        </c:title>
        <c:numFmt formatCode="0_)" sourceLinked="1"/>
        <c:majorTickMark val="out"/>
        <c:minorTickMark val="none"/>
        <c:tickLblPos val="low"/>
        <c:spPr>
          <a:ln w="3175">
            <a:solidFill>
              <a:srgbClr val="000000"/>
            </a:solidFill>
            <a:prstDash val="solid"/>
          </a:ln>
        </c:spPr>
        <c:txPr>
          <a:bodyPr rot="-2700000" vert="horz"/>
          <a:lstStyle/>
          <a:p>
            <a:pPr>
              <a:defRPr sz="1150" b="0" i="0" u="none" strike="noStrike" baseline="0">
                <a:solidFill>
                  <a:srgbClr val="000000"/>
                </a:solidFill>
                <a:latin typeface="Arial"/>
                <a:ea typeface="Arial"/>
                <a:cs typeface="Arial"/>
              </a:defRPr>
            </a:pPr>
            <a:endParaRPr lang="en-US"/>
          </a:p>
        </c:txPr>
        <c:crossAx val="352193536"/>
        <c:crosses val="autoZero"/>
        <c:auto val="1"/>
        <c:lblAlgn val="ctr"/>
        <c:lblOffset val="100"/>
        <c:tickLblSkip val="2"/>
        <c:tickMarkSkip val="1"/>
        <c:noMultiLvlLbl val="0"/>
      </c:catAx>
      <c:valAx>
        <c:axId val="352193536"/>
        <c:scaling>
          <c:orientation val="minMax"/>
        </c:scaling>
        <c:delete val="0"/>
        <c:axPos val="l"/>
        <c:title>
          <c:tx>
            <c:rich>
              <a:bodyPr/>
              <a:lstStyle/>
              <a:p>
                <a:pPr>
                  <a:defRPr sz="1200" b="1" i="0" u="none" strike="noStrike" baseline="0">
                    <a:solidFill>
                      <a:srgbClr val="000000"/>
                    </a:solidFill>
                    <a:latin typeface="Arial"/>
                    <a:ea typeface="Arial"/>
                    <a:cs typeface="Arial"/>
                  </a:defRPr>
                </a:pPr>
                <a:r>
                  <a:rPr lang="en-US"/>
                  <a:t>Leaving one out % Error</a:t>
                </a:r>
              </a:p>
            </c:rich>
          </c:tx>
          <c:layout>
            <c:manualLayout>
              <c:xMode val="edge"/>
              <c:yMode val="edge"/>
              <c:x val="1.517067003792668E-2"/>
              <c:y val="0.15176180213245888"/>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52190848"/>
        <c:crosses val="autoZero"/>
        <c:crossBetween val="between"/>
      </c:valAx>
      <c:spPr>
        <a:solidFill>
          <a:srgbClr val="FFFFFF"/>
        </a:solidFill>
        <a:ln w="25400">
          <a:noFill/>
        </a:ln>
      </c:spPr>
    </c:plotArea>
    <c:legend>
      <c:legendPos val="r"/>
      <c:legendEntry>
        <c:idx val="1"/>
        <c:txPr>
          <a:bodyPr/>
          <a:lstStyle/>
          <a:p>
            <a:pPr>
              <a:defRPr sz="1010" b="0" i="0" u="none" strike="noStrike" baseline="0">
                <a:solidFill>
                  <a:srgbClr val="000000"/>
                </a:solidFill>
                <a:latin typeface="Arial"/>
                <a:ea typeface="Arial"/>
                <a:cs typeface="Arial"/>
              </a:defRPr>
            </a:pPr>
            <a:endParaRPr lang="en-US"/>
          </a:p>
        </c:txPr>
      </c:legendEntry>
      <c:layout>
        <c:manualLayout>
          <c:xMode val="edge"/>
          <c:yMode val="edge"/>
          <c:x val="0.60556257901390143"/>
          <c:y val="9.4851233026765958E-2"/>
          <c:w val="0.37800252844500648"/>
          <c:h val="0.26016317066057826"/>
        </c:manualLayout>
      </c:layout>
      <c:overlay val="0"/>
      <c:spPr>
        <a:solidFill>
          <a:srgbClr val="FFFFFF"/>
        </a:solidFill>
        <a:ln w="25400">
          <a:noFill/>
        </a:ln>
      </c:spPr>
      <c:txPr>
        <a:bodyPr/>
        <a:lstStyle/>
        <a:p>
          <a:pPr>
            <a:defRPr sz="10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455" r="0.75000000000000455" t="1" header="0.5" footer="0.5"/>
    <c:pageSetup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495883401548377"/>
          <c:y val="9.7378633319556512E-2"/>
          <c:w val="0.76239746335617808"/>
          <c:h val="0.73408508194742639"/>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dLbls>
            <c:dLbl>
              <c:idx val="0"/>
              <c:tx>
                <c:strRef>
                  <c:f>Charts!$M$10</c:f>
                  <c:strCache>
                    <c:ptCount val="1"/>
                    <c:pt idx="0">
                      <c:v>1962</c:v>
                    </c:pt>
                  </c:strCache>
                </c:strRef>
              </c:tx>
              <c:dLblPos val="t"/>
              <c:showLegendKey val="0"/>
              <c:showVal val="1"/>
              <c:showCatName val="0"/>
              <c:showSerName val="0"/>
              <c:showPercent val="0"/>
              <c:showBubbleSize val="0"/>
            </c:dLbl>
            <c:dLbl>
              <c:idx val="1"/>
              <c:tx>
                <c:strRef>
                  <c:f>Charts!$M$11</c:f>
                  <c:strCache>
                    <c:ptCount val="1"/>
                    <c:pt idx="0">
                      <c:v>1963</c:v>
                    </c:pt>
                  </c:strCache>
                </c:strRef>
              </c:tx>
              <c:dLblPos val="t"/>
              <c:showLegendKey val="0"/>
              <c:showVal val="1"/>
              <c:showCatName val="0"/>
              <c:showSerName val="0"/>
              <c:showPercent val="0"/>
              <c:showBubbleSize val="0"/>
            </c:dLbl>
            <c:dLbl>
              <c:idx val="2"/>
              <c:tx>
                <c:strRef>
                  <c:f>Charts!$M$12</c:f>
                  <c:strCache>
                    <c:ptCount val="1"/>
                    <c:pt idx="0">
                      <c:v>1964</c:v>
                    </c:pt>
                  </c:strCache>
                </c:strRef>
              </c:tx>
              <c:dLblPos val="t"/>
              <c:showLegendKey val="0"/>
              <c:showVal val="1"/>
              <c:showCatName val="0"/>
              <c:showSerName val="0"/>
              <c:showPercent val="0"/>
              <c:showBubbleSize val="0"/>
            </c:dLbl>
            <c:dLbl>
              <c:idx val="3"/>
              <c:tx>
                <c:strRef>
                  <c:f>Charts!$M$13</c:f>
                  <c:strCache>
                    <c:ptCount val="1"/>
                    <c:pt idx="0">
                      <c:v>1965</c:v>
                    </c:pt>
                  </c:strCache>
                </c:strRef>
              </c:tx>
              <c:dLblPos val="t"/>
              <c:showLegendKey val="0"/>
              <c:showVal val="1"/>
              <c:showCatName val="0"/>
              <c:showSerName val="0"/>
              <c:showPercent val="0"/>
              <c:showBubbleSize val="0"/>
            </c:dLbl>
            <c:dLbl>
              <c:idx val="4"/>
              <c:tx>
                <c:strRef>
                  <c:f>Charts!$M$14</c:f>
                  <c:strCache>
                    <c:ptCount val="1"/>
                    <c:pt idx="0">
                      <c:v>1966</c:v>
                    </c:pt>
                  </c:strCache>
                </c:strRef>
              </c:tx>
              <c:dLblPos val="t"/>
              <c:showLegendKey val="0"/>
              <c:showVal val="1"/>
              <c:showCatName val="0"/>
              <c:showSerName val="0"/>
              <c:showPercent val="0"/>
              <c:showBubbleSize val="0"/>
            </c:dLbl>
            <c:dLbl>
              <c:idx val="5"/>
              <c:tx>
                <c:strRef>
                  <c:f>Charts!$M$15</c:f>
                  <c:strCache>
                    <c:ptCount val="1"/>
                    <c:pt idx="0">
                      <c:v>1967</c:v>
                    </c:pt>
                  </c:strCache>
                </c:strRef>
              </c:tx>
              <c:dLblPos val="t"/>
              <c:showLegendKey val="0"/>
              <c:showVal val="1"/>
              <c:showCatName val="0"/>
              <c:showSerName val="0"/>
              <c:showPercent val="0"/>
              <c:showBubbleSize val="0"/>
            </c:dLbl>
            <c:dLbl>
              <c:idx val="6"/>
              <c:tx>
                <c:strRef>
                  <c:f>Charts!$M$16</c:f>
                  <c:strCache>
                    <c:ptCount val="1"/>
                    <c:pt idx="0">
                      <c:v>1968</c:v>
                    </c:pt>
                  </c:strCache>
                </c:strRef>
              </c:tx>
              <c:dLblPos val="t"/>
              <c:showLegendKey val="0"/>
              <c:showVal val="1"/>
              <c:showCatName val="0"/>
              <c:showSerName val="0"/>
              <c:showPercent val="0"/>
              <c:showBubbleSize val="0"/>
            </c:dLbl>
            <c:dLbl>
              <c:idx val="7"/>
              <c:tx>
                <c:strRef>
                  <c:f>Charts!$M$17</c:f>
                  <c:strCache>
                    <c:ptCount val="1"/>
                    <c:pt idx="0">
                      <c:v>1969</c:v>
                    </c:pt>
                  </c:strCache>
                </c:strRef>
              </c:tx>
              <c:dLblPos val="t"/>
              <c:showLegendKey val="0"/>
              <c:showVal val="1"/>
              <c:showCatName val="0"/>
              <c:showSerName val="0"/>
              <c:showPercent val="0"/>
              <c:showBubbleSize val="0"/>
            </c:dLbl>
            <c:dLbl>
              <c:idx val="8"/>
              <c:tx>
                <c:strRef>
                  <c:f>Charts!$M$18</c:f>
                  <c:strCache>
                    <c:ptCount val="1"/>
                    <c:pt idx="0">
                      <c:v>1970</c:v>
                    </c:pt>
                  </c:strCache>
                </c:strRef>
              </c:tx>
              <c:dLblPos val="t"/>
              <c:showLegendKey val="0"/>
              <c:showVal val="1"/>
              <c:showCatName val="0"/>
              <c:showSerName val="0"/>
              <c:showPercent val="0"/>
              <c:showBubbleSize val="0"/>
            </c:dLbl>
            <c:dLbl>
              <c:idx val="9"/>
              <c:tx>
                <c:strRef>
                  <c:f>Charts!$M$19</c:f>
                  <c:strCache>
                    <c:ptCount val="1"/>
                    <c:pt idx="0">
                      <c:v>1971</c:v>
                    </c:pt>
                  </c:strCache>
                </c:strRef>
              </c:tx>
              <c:dLblPos val="t"/>
              <c:showLegendKey val="0"/>
              <c:showVal val="1"/>
              <c:showCatName val="0"/>
              <c:showSerName val="0"/>
              <c:showPercent val="0"/>
              <c:showBubbleSize val="0"/>
            </c:dLbl>
            <c:dLbl>
              <c:idx val="10"/>
              <c:tx>
                <c:strRef>
                  <c:f>Charts!$M$20</c:f>
                  <c:strCache>
                    <c:ptCount val="1"/>
                    <c:pt idx="0">
                      <c:v>1972</c:v>
                    </c:pt>
                  </c:strCache>
                </c:strRef>
              </c:tx>
              <c:dLblPos val="t"/>
              <c:showLegendKey val="0"/>
              <c:showVal val="1"/>
              <c:showCatName val="0"/>
              <c:showSerName val="0"/>
              <c:showPercent val="0"/>
              <c:showBubbleSize val="0"/>
            </c:dLbl>
            <c:dLbl>
              <c:idx val="11"/>
              <c:tx>
                <c:strRef>
                  <c:f>Charts!$M$21</c:f>
                  <c:strCache>
                    <c:ptCount val="1"/>
                    <c:pt idx="0">
                      <c:v>1973</c:v>
                    </c:pt>
                  </c:strCache>
                </c:strRef>
              </c:tx>
              <c:dLblPos val="t"/>
              <c:showLegendKey val="0"/>
              <c:showVal val="1"/>
              <c:showCatName val="0"/>
              <c:showSerName val="0"/>
              <c:showPercent val="0"/>
              <c:showBubbleSize val="0"/>
            </c:dLbl>
            <c:dLbl>
              <c:idx val="12"/>
              <c:tx>
                <c:strRef>
                  <c:f>Charts!$M$22</c:f>
                  <c:strCache>
                    <c:ptCount val="1"/>
                    <c:pt idx="0">
                      <c:v>1974</c:v>
                    </c:pt>
                  </c:strCache>
                </c:strRef>
              </c:tx>
              <c:dLblPos val="t"/>
              <c:showLegendKey val="0"/>
              <c:showVal val="1"/>
              <c:showCatName val="0"/>
              <c:showSerName val="0"/>
              <c:showPercent val="0"/>
              <c:showBubbleSize val="0"/>
            </c:dLbl>
            <c:dLbl>
              <c:idx val="13"/>
              <c:tx>
                <c:strRef>
                  <c:f>Charts!$M$23</c:f>
                  <c:strCache>
                    <c:ptCount val="1"/>
                    <c:pt idx="0">
                      <c:v>1975</c:v>
                    </c:pt>
                  </c:strCache>
                </c:strRef>
              </c:tx>
              <c:dLblPos val="t"/>
              <c:showLegendKey val="0"/>
              <c:showVal val="1"/>
              <c:showCatName val="0"/>
              <c:showSerName val="0"/>
              <c:showPercent val="0"/>
              <c:showBubbleSize val="0"/>
            </c:dLbl>
            <c:dLbl>
              <c:idx val="14"/>
              <c:tx>
                <c:strRef>
                  <c:f>Charts!$M$24</c:f>
                  <c:strCache>
                    <c:ptCount val="1"/>
                    <c:pt idx="0">
                      <c:v>1976</c:v>
                    </c:pt>
                  </c:strCache>
                </c:strRef>
              </c:tx>
              <c:dLblPos val="t"/>
              <c:showLegendKey val="0"/>
              <c:showVal val="1"/>
              <c:showCatName val="0"/>
              <c:showSerName val="0"/>
              <c:showPercent val="0"/>
              <c:showBubbleSize val="0"/>
            </c:dLbl>
            <c:dLbl>
              <c:idx val="15"/>
              <c:tx>
                <c:strRef>
                  <c:f>Charts!$M$25</c:f>
                  <c:strCache>
                    <c:ptCount val="1"/>
                    <c:pt idx="0">
                      <c:v>1977</c:v>
                    </c:pt>
                  </c:strCache>
                </c:strRef>
              </c:tx>
              <c:dLblPos val="t"/>
              <c:showLegendKey val="0"/>
              <c:showVal val="1"/>
              <c:showCatName val="0"/>
              <c:showSerName val="0"/>
              <c:showPercent val="0"/>
              <c:showBubbleSize val="0"/>
            </c:dLbl>
            <c:dLbl>
              <c:idx val="16"/>
              <c:tx>
                <c:strRef>
                  <c:f>Charts!$M$26</c:f>
                  <c:strCache>
                    <c:ptCount val="1"/>
                    <c:pt idx="0">
                      <c:v>1978</c:v>
                    </c:pt>
                  </c:strCache>
                </c:strRef>
              </c:tx>
              <c:dLblPos val="t"/>
              <c:showLegendKey val="0"/>
              <c:showVal val="1"/>
              <c:showCatName val="0"/>
              <c:showSerName val="0"/>
              <c:showPercent val="0"/>
              <c:showBubbleSize val="0"/>
            </c:dLbl>
            <c:dLbl>
              <c:idx val="17"/>
              <c:tx>
                <c:strRef>
                  <c:f>Charts!$M$27</c:f>
                  <c:strCache>
                    <c:ptCount val="1"/>
                    <c:pt idx="0">
                      <c:v>1979</c:v>
                    </c:pt>
                  </c:strCache>
                </c:strRef>
              </c:tx>
              <c:dLblPos val="t"/>
              <c:showLegendKey val="0"/>
              <c:showVal val="1"/>
              <c:showCatName val="0"/>
              <c:showSerName val="0"/>
              <c:showPercent val="0"/>
              <c:showBubbleSize val="0"/>
            </c:dLbl>
            <c:dLbl>
              <c:idx val="18"/>
              <c:tx>
                <c:strRef>
                  <c:f>Charts!$M$28</c:f>
                  <c:strCache>
                    <c:ptCount val="1"/>
                    <c:pt idx="0">
                      <c:v>1980</c:v>
                    </c:pt>
                  </c:strCache>
                </c:strRef>
              </c:tx>
              <c:dLblPos val="t"/>
              <c:showLegendKey val="0"/>
              <c:showVal val="1"/>
              <c:showCatName val="0"/>
              <c:showSerName val="0"/>
              <c:showPercent val="0"/>
              <c:showBubbleSize val="0"/>
            </c:dLbl>
            <c:dLbl>
              <c:idx val="19"/>
              <c:tx>
                <c:strRef>
                  <c:f>Charts!$M$29</c:f>
                  <c:strCache>
                    <c:ptCount val="1"/>
                    <c:pt idx="0">
                      <c:v>1981</c:v>
                    </c:pt>
                  </c:strCache>
                </c:strRef>
              </c:tx>
              <c:dLblPos val="t"/>
              <c:showLegendKey val="0"/>
              <c:showVal val="1"/>
              <c:showCatName val="0"/>
              <c:showSerName val="0"/>
              <c:showPercent val="0"/>
              <c:showBubbleSize val="0"/>
            </c:dLbl>
            <c:dLbl>
              <c:idx val="20"/>
              <c:tx>
                <c:strRef>
                  <c:f>Charts!$M$30</c:f>
                  <c:strCache>
                    <c:ptCount val="1"/>
                    <c:pt idx="0">
                      <c:v>1982</c:v>
                    </c:pt>
                  </c:strCache>
                </c:strRef>
              </c:tx>
              <c:dLblPos val="t"/>
              <c:showLegendKey val="0"/>
              <c:showVal val="1"/>
              <c:showCatName val="0"/>
              <c:showSerName val="0"/>
              <c:showPercent val="0"/>
              <c:showBubbleSize val="0"/>
            </c:dLbl>
            <c:dLbl>
              <c:idx val="21"/>
              <c:tx>
                <c:strRef>
                  <c:f>Charts!$M$31</c:f>
                  <c:strCache>
                    <c:ptCount val="1"/>
                    <c:pt idx="0">
                      <c:v>1983</c:v>
                    </c:pt>
                  </c:strCache>
                </c:strRef>
              </c:tx>
              <c:dLblPos val="t"/>
              <c:showLegendKey val="0"/>
              <c:showVal val="1"/>
              <c:showCatName val="0"/>
              <c:showSerName val="0"/>
              <c:showPercent val="0"/>
              <c:showBubbleSize val="0"/>
            </c:dLbl>
            <c:dLbl>
              <c:idx val="22"/>
              <c:tx>
                <c:strRef>
                  <c:f>Charts!$M$32</c:f>
                  <c:strCache>
                    <c:ptCount val="1"/>
                    <c:pt idx="0">
                      <c:v>1984</c:v>
                    </c:pt>
                  </c:strCache>
                </c:strRef>
              </c:tx>
              <c:dLblPos val="t"/>
              <c:showLegendKey val="0"/>
              <c:showVal val="1"/>
              <c:showCatName val="0"/>
              <c:showSerName val="0"/>
              <c:showPercent val="0"/>
              <c:showBubbleSize val="0"/>
            </c:dLbl>
            <c:dLbl>
              <c:idx val="23"/>
              <c:tx>
                <c:strRef>
                  <c:f>Charts!$M$33</c:f>
                  <c:strCache>
                    <c:ptCount val="1"/>
                    <c:pt idx="0">
                      <c:v>1985</c:v>
                    </c:pt>
                  </c:strCache>
                </c:strRef>
              </c:tx>
              <c:dLblPos val="t"/>
              <c:showLegendKey val="0"/>
              <c:showVal val="1"/>
              <c:showCatName val="0"/>
              <c:showSerName val="0"/>
              <c:showPercent val="0"/>
              <c:showBubbleSize val="0"/>
            </c:dLbl>
            <c:dLbl>
              <c:idx val="24"/>
              <c:tx>
                <c:strRef>
                  <c:f>Charts!$M$34</c:f>
                  <c:strCache>
                    <c:ptCount val="1"/>
                    <c:pt idx="0">
                      <c:v>1986</c:v>
                    </c:pt>
                  </c:strCache>
                </c:strRef>
              </c:tx>
              <c:dLblPos val="t"/>
              <c:showLegendKey val="0"/>
              <c:showVal val="1"/>
              <c:showCatName val="0"/>
              <c:showSerName val="0"/>
              <c:showPercent val="0"/>
              <c:showBubbleSize val="0"/>
            </c:dLbl>
            <c:dLbl>
              <c:idx val="25"/>
              <c:tx>
                <c:strRef>
                  <c:f>Charts!$M$35</c:f>
                  <c:strCache>
                    <c:ptCount val="1"/>
                    <c:pt idx="0">
                      <c:v>1987</c:v>
                    </c:pt>
                  </c:strCache>
                </c:strRef>
              </c:tx>
              <c:dLblPos val="t"/>
              <c:showLegendKey val="0"/>
              <c:showVal val="1"/>
              <c:showCatName val="0"/>
              <c:showSerName val="0"/>
              <c:showPercent val="0"/>
              <c:showBubbleSize val="0"/>
            </c:dLbl>
            <c:dLbl>
              <c:idx val="26"/>
              <c:tx>
                <c:strRef>
                  <c:f>Charts!$M$36</c:f>
                  <c:strCache>
                    <c:ptCount val="1"/>
                    <c:pt idx="0">
                      <c:v>1988</c:v>
                    </c:pt>
                  </c:strCache>
                </c:strRef>
              </c:tx>
              <c:dLblPos val="t"/>
              <c:showLegendKey val="0"/>
              <c:showVal val="1"/>
              <c:showCatName val="0"/>
              <c:showSerName val="0"/>
              <c:showPercent val="0"/>
              <c:showBubbleSize val="0"/>
            </c:dLbl>
            <c:dLbl>
              <c:idx val="27"/>
              <c:tx>
                <c:strRef>
                  <c:f>Charts!$M$37</c:f>
                  <c:strCache>
                    <c:ptCount val="1"/>
                    <c:pt idx="0">
                      <c:v>1989</c:v>
                    </c:pt>
                  </c:strCache>
                </c:strRef>
              </c:tx>
              <c:dLblPos val="t"/>
              <c:showLegendKey val="0"/>
              <c:showVal val="1"/>
              <c:showCatName val="0"/>
              <c:showSerName val="0"/>
              <c:showPercent val="0"/>
              <c:showBubbleSize val="0"/>
            </c:dLbl>
            <c:dLbl>
              <c:idx val="28"/>
              <c:tx>
                <c:strRef>
                  <c:f>Charts!$M$38</c:f>
                  <c:strCache>
                    <c:ptCount val="1"/>
                    <c:pt idx="0">
                      <c:v>1990</c:v>
                    </c:pt>
                  </c:strCache>
                </c:strRef>
              </c:tx>
              <c:dLblPos val="t"/>
              <c:showLegendKey val="0"/>
              <c:showVal val="1"/>
              <c:showCatName val="0"/>
              <c:showSerName val="0"/>
              <c:showPercent val="0"/>
              <c:showBubbleSize val="0"/>
            </c:dLbl>
            <c:dLbl>
              <c:idx val="29"/>
              <c:tx>
                <c:strRef>
                  <c:f>Charts!$M$39</c:f>
                  <c:strCache>
                    <c:ptCount val="1"/>
                    <c:pt idx="0">
                      <c:v>1991</c:v>
                    </c:pt>
                  </c:strCache>
                </c:strRef>
              </c:tx>
              <c:dLblPos val="t"/>
              <c:showLegendKey val="0"/>
              <c:showVal val="1"/>
              <c:showCatName val="0"/>
              <c:showSerName val="0"/>
              <c:showPercent val="0"/>
              <c:showBubbleSize val="0"/>
            </c:dLbl>
            <c:dLbl>
              <c:idx val="30"/>
              <c:tx>
                <c:strRef>
                  <c:f>Charts!$M$40</c:f>
                  <c:strCache>
                    <c:ptCount val="1"/>
                    <c:pt idx="0">
                      <c:v>1992</c:v>
                    </c:pt>
                  </c:strCache>
                </c:strRef>
              </c:tx>
              <c:dLblPos val="t"/>
              <c:showLegendKey val="0"/>
              <c:showVal val="1"/>
              <c:showCatName val="0"/>
              <c:showSerName val="0"/>
              <c:showPercent val="0"/>
              <c:showBubbleSize val="0"/>
            </c:dLbl>
            <c:dLbl>
              <c:idx val="31"/>
              <c:tx>
                <c:strRef>
                  <c:f>Charts!$M$41</c:f>
                  <c:strCache>
                    <c:ptCount val="1"/>
                    <c:pt idx="0">
                      <c:v>1993</c:v>
                    </c:pt>
                  </c:strCache>
                </c:strRef>
              </c:tx>
              <c:dLblPos val="t"/>
              <c:showLegendKey val="0"/>
              <c:showVal val="1"/>
              <c:showCatName val="0"/>
              <c:showSerName val="0"/>
              <c:showPercent val="0"/>
              <c:showBubbleSize val="0"/>
            </c:dLbl>
            <c:dLbl>
              <c:idx val="32"/>
              <c:tx>
                <c:strRef>
                  <c:f>Charts!$M$42</c:f>
                  <c:strCache>
                    <c:ptCount val="1"/>
                    <c:pt idx="0">
                      <c:v>1994</c:v>
                    </c:pt>
                  </c:strCache>
                </c:strRef>
              </c:tx>
              <c:dLblPos val="t"/>
              <c:showLegendKey val="0"/>
              <c:showVal val="1"/>
              <c:showCatName val="0"/>
              <c:showSerName val="0"/>
              <c:showPercent val="0"/>
              <c:showBubbleSize val="0"/>
            </c:dLbl>
            <c:dLbl>
              <c:idx val="33"/>
              <c:tx>
                <c:strRef>
                  <c:f>Charts!$M$43</c:f>
                  <c:strCache>
                    <c:ptCount val="1"/>
                    <c:pt idx="0">
                      <c:v>1995</c:v>
                    </c:pt>
                  </c:strCache>
                </c:strRef>
              </c:tx>
              <c:dLblPos val="t"/>
              <c:showLegendKey val="0"/>
              <c:showVal val="1"/>
              <c:showCatName val="0"/>
              <c:showSerName val="0"/>
              <c:showPercent val="0"/>
              <c:showBubbleSize val="0"/>
            </c:dLbl>
            <c:dLbl>
              <c:idx val="34"/>
              <c:tx>
                <c:strRef>
                  <c:f>Charts!$M$44</c:f>
                  <c:strCache>
                    <c:ptCount val="1"/>
                    <c:pt idx="0">
                      <c:v>1996</c:v>
                    </c:pt>
                  </c:strCache>
                </c:strRef>
              </c:tx>
              <c:dLblPos val="t"/>
              <c:showLegendKey val="0"/>
              <c:showVal val="1"/>
              <c:showCatName val="0"/>
              <c:showSerName val="0"/>
              <c:showPercent val="0"/>
              <c:showBubbleSize val="0"/>
            </c:dLbl>
            <c:dLbl>
              <c:idx val="35"/>
              <c:tx>
                <c:strRef>
                  <c:f>Charts!$M$45</c:f>
                  <c:strCache>
                    <c:ptCount val="1"/>
                    <c:pt idx="0">
                      <c:v>1997</c:v>
                    </c:pt>
                  </c:strCache>
                </c:strRef>
              </c:tx>
              <c:dLblPos val="t"/>
              <c:showLegendKey val="0"/>
              <c:showVal val="1"/>
              <c:showCatName val="0"/>
              <c:showSerName val="0"/>
              <c:showPercent val="0"/>
              <c:showBubbleSize val="0"/>
            </c:dLbl>
            <c:dLbl>
              <c:idx val="36"/>
              <c:tx>
                <c:strRef>
                  <c:f>Charts!$M$46</c:f>
                  <c:strCache>
                    <c:ptCount val="1"/>
                    <c:pt idx="0">
                      <c:v>1998</c:v>
                    </c:pt>
                  </c:strCache>
                </c:strRef>
              </c:tx>
              <c:dLblPos val="t"/>
              <c:showLegendKey val="0"/>
              <c:showVal val="1"/>
              <c:showCatName val="0"/>
              <c:showSerName val="0"/>
              <c:showPercent val="0"/>
              <c:showBubbleSize val="0"/>
            </c:dLbl>
            <c:dLbl>
              <c:idx val="37"/>
              <c:tx>
                <c:strRef>
                  <c:f>Charts!$M$47</c:f>
                  <c:strCache>
                    <c:ptCount val="1"/>
                    <c:pt idx="0">
                      <c:v>1999</c:v>
                    </c:pt>
                  </c:strCache>
                </c:strRef>
              </c:tx>
              <c:dLblPos val="t"/>
              <c:showLegendKey val="0"/>
              <c:showVal val="1"/>
              <c:showCatName val="0"/>
              <c:showSerName val="0"/>
              <c:showPercent val="0"/>
              <c:showBubbleSize val="0"/>
            </c:dLbl>
            <c:dLbl>
              <c:idx val="38"/>
              <c:tx>
                <c:strRef>
                  <c:f>Charts!$M$48</c:f>
                  <c:strCache>
                    <c:ptCount val="1"/>
                    <c:pt idx="0">
                      <c:v>2000</c:v>
                    </c:pt>
                  </c:strCache>
                </c:strRef>
              </c:tx>
              <c:dLblPos val="t"/>
              <c:showLegendKey val="0"/>
              <c:showVal val="1"/>
              <c:showCatName val="0"/>
              <c:showSerName val="0"/>
              <c:showPercent val="0"/>
              <c:showBubbleSize val="0"/>
            </c:dLbl>
            <c:dLbl>
              <c:idx val="39"/>
              <c:tx>
                <c:strRef>
                  <c:f>Charts!$M$49</c:f>
                  <c:strCache>
                    <c:ptCount val="1"/>
                    <c:pt idx="0">
                      <c:v>2001</c:v>
                    </c:pt>
                  </c:strCache>
                </c:strRef>
              </c:tx>
              <c:dLblPos val="t"/>
              <c:showLegendKey val="0"/>
              <c:showVal val="1"/>
              <c:showCatName val="0"/>
              <c:showSerName val="0"/>
              <c:showPercent val="0"/>
              <c:showBubbleSize val="0"/>
            </c:dLbl>
            <c:dLbl>
              <c:idx val="40"/>
              <c:tx>
                <c:strRef>
                  <c:f>Charts!$M$50</c:f>
                  <c:strCache>
                    <c:ptCount val="1"/>
                    <c:pt idx="0">
                      <c:v>2002</c:v>
                    </c:pt>
                  </c:strCache>
                </c:strRef>
              </c:tx>
              <c:dLblPos val="t"/>
              <c:showLegendKey val="0"/>
              <c:showVal val="1"/>
              <c:showCatName val="0"/>
              <c:showSerName val="0"/>
              <c:showPercent val="0"/>
              <c:showBubbleSize val="0"/>
            </c:dLbl>
            <c:dLbl>
              <c:idx val="41"/>
              <c:tx>
                <c:strRef>
                  <c:f>Charts!$M$51</c:f>
                  <c:strCache>
                    <c:ptCount val="1"/>
                    <c:pt idx="0">
                      <c:v>2003</c:v>
                    </c:pt>
                  </c:strCache>
                </c:strRef>
              </c:tx>
              <c:dLblPos val="t"/>
              <c:showLegendKey val="0"/>
              <c:showVal val="1"/>
              <c:showCatName val="0"/>
              <c:showSerName val="0"/>
              <c:showPercent val="0"/>
              <c:showBubbleSize val="0"/>
            </c:dLbl>
            <c:dLbl>
              <c:idx val="42"/>
              <c:tx>
                <c:strRef>
                  <c:f>Charts!$M$52</c:f>
                  <c:strCache>
                    <c:ptCount val="1"/>
                    <c:pt idx="0">
                      <c:v>2004</c:v>
                    </c:pt>
                  </c:strCache>
                </c:strRef>
              </c:tx>
              <c:dLblPos val="t"/>
              <c:showLegendKey val="0"/>
              <c:showVal val="1"/>
              <c:showCatName val="0"/>
              <c:showSerName val="0"/>
              <c:showPercent val="0"/>
              <c:showBubbleSize val="0"/>
            </c:dLbl>
            <c:dLbl>
              <c:idx val="43"/>
              <c:tx>
                <c:strRef>
                  <c:f>Charts!$M$53</c:f>
                  <c:strCache>
                    <c:ptCount val="1"/>
                    <c:pt idx="0">
                      <c:v>2005</c:v>
                    </c:pt>
                  </c:strCache>
                </c:strRef>
              </c:tx>
              <c:dLblPos val="t"/>
              <c:showLegendKey val="0"/>
              <c:showVal val="1"/>
              <c:showCatName val="0"/>
              <c:showSerName val="0"/>
              <c:showPercent val="0"/>
              <c:showBubbleSize val="0"/>
            </c:dLbl>
            <c:showLegendKey val="0"/>
            <c:showVal val="1"/>
            <c:showCatName val="0"/>
            <c:showSerName val="0"/>
            <c:showPercent val="0"/>
            <c:showBubbleSize val="0"/>
            <c:showLeaderLines val="0"/>
          </c:dLbls>
          <c:trendline>
            <c:trendlineType val="linear"/>
            <c:dispRSqr val="1"/>
            <c:dispEq val="1"/>
            <c:trendlineLbl>
              <c:layout>
                <c:manualLayout>
                  <c:x val="6.5307910891304194E-2"/>
                  <c:y val="0.45692844574203739"/>
                </c:manualLayout>
              </c:layout>
              <c:numFmt formatCode="General" sourceLinked="0"/>
            </c:trendlineLbl>
          </c:trendline>
          <c:xVal>
            <c:numRef>
              <c:f>Charts!$Q$10:$Q$53</c:f>
              <c:numCache>
                <c:formatCode>#,##0</c:formatCode>
                <c:ptCount val="44"/>
                <c:pt idx="0">
                  <c:v>150095.5319942284</c:v>
                </c:pt>
                <c:pt idx="1">
                  <c:v>101828.5262455966</c:v>
                </c:pt>
                <c:pt idx="2">
                  <c:v>297079.48666796228</c:v>
                </c:pt>
                <c:pt idx="3">
                  <c:v>386756.30820146005</c:v>
                </c:pt>
                <c:pt idx="4">
                  <c:v>306343.65578565816</c:v>
                </c:pt>
                <c:pt idx="5">
                  <c:v>99644.921148515932</c:v>
                </c:pt>
                <c:pt idx="6">
                  <c:v>163454.64463151692</c:v>
                </c:pt>
                <c:pt idx="7">
                  <c:v>126993.29846521813</c:v>
                </c:pt>
                <c:pt idx="8">
                  <c:v>91015.530623529456</c:v>
                </c:pt>
                <c:pt idx="9">
                  <c:v>51622.232893504595</c:v>
                </c:pt>
                <c:pt idx="10">
                  <c:v>152485.821560646</c:v>
                </c:pt>
                <c:pt idx="11">
                  <c:v>57705.01264840029</c:v>
                </c:pt>
                <c:pt idx="12">
                  <c:v>161631.30880277354</c:v>
                </c:pt>
                <c:pt idx="13">
                  <c:v>79213.409021256812</c:v>
                </c:pt>
                <c:pt idx="14">
                  <c:v>179076.32663278599</c:v>
                </c:pt>
                <c:pt idx="15">
                  <c:v>341723.69264525443</c:v>
                </c:pt>
                <c:pt idx="16">
                  <c:v>409447.02357476833</c:v>
                </c:pt>
                <c:pt idx="17">
                  <c:v>427879.78871298773</c:v>
                </c:pt>
                <c:pt idx="18">
                  <c:v>220536.4231370475</c:v>
                </c:pt>
                <c:pt idx="19">
                  <c:v>274996.12912252021</c:v>
                </c:pt>
                <c:pt idx="20">
                  <c:v>422661.32021535153</c:v>
                </c:pt>
                <c:pt idx="21">
                  <c:v>235752.66366148548</c:v>
                </c:pt>
                <c:pt idx="22">
                  <c:v>390281.1803342427</c:v>
                </c:pt>
                <c:pt idx="23">
                  <c:v>297555.05606857786</c:v>
                </c:pt>
                <c:pt idx="24">
                  <c:v>518924.05030045682</c:v>
                </c:pt>
                <c:pt idx="25">
                  <c:v>389523.47912559047</c:v>
                </c:pt>
                <c:pt idx="26">
                  <c:v>326726.53492668382</c:v>
                </c:pt>
                <c:pt idx="27">
                  <c:v>490526.68321441114</c:v>
                </c:pt>
                <c:pt idx="28">
                  <c:v>386638.56979031907</c:v>
                </c:pt>
                <c:pt idx="29">
                  <c:v>537128.90487323864</c:v>
                </c:pt>
                <c:pt idx="30">
                  <c:v>618004.84858985536</c:v>
                </c:pt>
                <c:pt idx="31">
                  <c:v>1050066.7171947679</c:v>
                </c:pt>
                <c:pt idx="32">
                  <c:v>384135.75522849255</c:v>
                </c:pt>
                <c:pt idx="33">
                  <c:v>321036.87645733252</c:v>
                </c:pt>
                <c:pt idx="34">
                  <c:v>142402.01415209105</c:v>
                </c:pt>
                <c:pt idx="35">
                  <c:v>261463.039344524</c:v>
                </c:pt>
                <c:pt idx="36">
                  <c:v>415885.00659217092</c:v>
                </c:pt>
                <c:pt idx="37">
                  <c:v>343285.70430225472</c:v>
                </c:pt>
                <c:pt idx="38">
                  <c:v>599440.65649536718</c:v>
                </c:pt>
                <c:pt idx="39">
                  <c:v>390385.67978340283</c:v>
                </c:pt>
                <c:pt idx="40">
                  <c:v>466686.60354357032</c:v>
                </c:pt>
                <c:pt idx="41">
                  <c:v>231815.37469409552</c:v>
                </c:pt>
                <c:pt idx="42">
                  <c:v>118818.08638717617</c:v>
                </c:pt>
                <c:pt idx="43">
                  <c:v>392735.251168127</c:v>
                </c:pt>
              </c:numCache>
            </c:numRef>
          </c:xVal>
          <c:yVal>
            <c:numRef>
              <c:f>Charts!$T$10:$T$53</c:f>
              <c:numCache>
                <c:formatCode>#,##0</c:formatCode>
                <c:ptCount val="44"/>
                <c:pt idx="0">
                  <c:v>570531.6104038849</c:v>
                </c:pt>
                <c:pt idx="1">
                  <c:v>503555.55553856789</c:v>
                </c:pt>
                <c:pt idx="2">
                  <c:v>859162.69610300276</c:v>
                </c:pt>
                <c:pt idx="3">
                  <c:v>1152418.7035554058</c:v>
                </c:pt>
                <c:pt idx="4">
                  <c:v>901096.38059218857</c:v>
                </c:pt>
                <c:pt idx="5">
                  <c:v>716775.10109955561</c:v>
                </c:pt>
                <c:pt idx="6">
                  <c:v>607383.46777198208</c:v>
                </c:pt>
                <c:pt idx="7">
                  <c:v>681790.85667400155</c:v>
                </c:pt>
                <c:pt idx="8">
                  <c:v>361839.5252742467</c:v>
                </c:pt>
                <c:pt idx="9">
                  <c:v>950613.84992614191</c:v>
                </c:pt>
                <c:pt idx="10">
                  <c:v>853305.55569501536</c:v>
                </c:pt>
                <c:pt idx="11">
                  <c:v>316077.70643137104</c:v>
                </c:pt>
                <c:pt idx="12">
                  <c:v>461779.8268600523</c:v>
                </c:pt>
                <c:pt idx="13">
                  <c:v>440898.68911851</c:v>
                </c:pt>
                <c:pt idx="14">
                  <c:v>909071.06494544377</c:v>
                </c:pt>
                <c:pt idx="15">
                  <c:v>1377577.2324957009</c:v>
                </c:pt>
                <c:pt idx="16">
                  <c:v>847972.16827574873</c:v>
                </c:pt>
                <c:pt idx="17">
                  <c:v>1440917.1627874868</c:v>
                </c:pt>
                <c:pt idx="18">
                  <c:v>1070628.6478038346</c:v>
                </c:pt>
                <c:pt idx="19">
                  <c:v>738329.12642022839</c:v>
                </c:pt>
                <c:pt idx="20">
                  <c:v>1372216.7107306002</c:v>
                </c:pt>
                <c:pt idx="21">
                  <c:v>555953.10579974938</c:v>
                </c:pt>
                <c:pt idx="22">
                  <c:v>1032822.8150840794</c:v>
                </c:pt>
                <c:pt idx="23">
                  <c:v>707150.76853042503</c:v>
                </c:pt>
                <c:pt idx="24">
                  <c:v>1298618.387103739</c:v>
                </c:pt>
                <c:pt idx="25">
                  <c:v>1099918.6723011467</c:v>
                </c:pt>
                <c:pt idx="26">
                  <c:v>1350169.5388489403</c:v>
                </c:pt>
                <c:pt idx="27">
                  <c:v>1347527.9582256572</c:v>
                </c:pt>
                <c:pt idx="28">
                  <c:v>1099436.4314472736</c:v>
                </c:pt>
                <c:pt idx="29">
                  <c:v>2042708.6002330019</c:v>
                </c:pt>
                <c:pt idx="30">
                  <c:v>2442113.7336190571</c:v>
                </c:pt>
                <c:pt idx="31">
                  <c:v>1131925.9102390057</c:v>
                </c:pt>
                <c:pt idx="32">
                  <c:v>1251531.8444024946</c:v>
                </c:pt>
                <c:pt idx="33">
                  <c:v>938769.33846594044</c:v>
                </c:pt>
                <c:pt idx="34">
                  <c:v>1678622.9634590594</c:v>
                </c:pt>
                <c:pt idx="35">
                  <c:v>1261994.5204576035</c:v>
                </c:pt>
                <c:pt idx="36">
                  <c:v>1393279.81429882</c:v>
                </c:pt>
                <c:pt idx="37">
                  <c:v>1067975.5275790305</c:v>
                </c:pt>
                <c:pt idx="38">
                  <c:v>1482770.3101347731</c:v>
                </c:pt>
                <c:pt idx="39">
                  <c:v>1530591.3275747076</c:v>
                </c:pt>
                <c:pt idx="40">
                  <c:v>2297096.3137625628</c:v>
                </c:pt>
                <c:pt idx="41">
                  <c:v>811558.39428035822</c:v>
                </c:pt>
                <c:pt idx="42">
                  <c:v>978312.29348092014</c:v>
                </c:pt>
                <c:pt idx="43">
                  <c:v>752086.86691418954</c:v>
                </c:pt>
              </c:numCache>
            </c:numRef>
          </c:yVal>
          <c:smooth val="0"/>
        </c:ser>
        <c:dLbls>
          <c:showLegendKey val="0"/>
          <c:showVal val="0"/>
          <c:showCatName val="0"/>
          <c:showSerName val="0"/>
          <c:showPercent val="0"/>
          <c:showBubbleSize val="0"/>
        </c:dLbls>
        <c:axId val="353793536"/>
        <c:axId val="353795072"/>
      </c:scatterChart>
      <c:valAx>
        <c:axId val="353793536"/>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353795072"/>
        <c:crosses val="autoZero"/>
        <c:crossBetween val="midCat"/>
      </c:valAx>
      <c:valAx>
        <c:axId val="353795072"/>
        <c:scaling>
          <c:orientation val="minMax"/>
        </c:scaling>
        <c:delete val="0"/>
        <c:axPos val="l"/>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353793536"/>
        <c:crosses val="autoZero"/>
        <c:crossBetween val="midCat"/>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Times New Roman"/>
                <a:ea typeface="Times New Roman"/>
                <a:cs typeface="Times New Roman"/>
              </a:defRPr>
            </a:pPr>
            <a:r>
              <a:rPr lang="en-US"/>
              <a:t>Copper River wild Sockeye</a:t>
            </a:r>
          </a:p>
        </c:rich>
      </c:tx>
      <c:layout>
        <c:manualLayout>
          <c:xMode val="edge"/>
          <c:yMode val="edge"/>
          <c:x val="0.40345979983758884"/>
          <c:y val="3.0885407365316492E-2"/>
        </c:manualLayout>
      </c:layout>
      <c:overlay val="0"/>
      <c:spPr>
        <a:noFill/>
        <a:ln w="25400">
          <a:noFill/>
        </a:ln>
      </c:spPr>
    </c:title>
    <c:autoTitleDeleted val="0"/>
    <c:plotArea>
      <c:layout>
        <c:manualLayout>
          <c:layoutTarget val="inner"/>
          <c:xMode val="edge"/>
          <c:yMode val="edge"/>
          <c:x val="0.10165915887966445"/>
          <c:y val="8.8921493508963556E-2"/>
          <c:w val="0.83657016161390529"/>
          <c:h val="0.68115507300717848"/>
        </c:manualLayout>
      </c:layout>
      <c:lineChart>
        <c:grouping val="standard"/>
        <c:varyColors val="0"/>
        <c:ser>
          <c:idx val="0"/>
          <c:order val="0"/>
          <c:tx>
            <c:v>Age 0.3</c:v>
          </c:tx>
          <c:spPr>
            <a:ln w="12700">
              <a:solidFill>
                <a:srgbClr val="000080"/>
              </a:solidFill>
              <a:prstDash val="solid"/>
            </a:ln>
          </c:spPr>
          <c:marker>
            <c:symbol val="diamond"/>
            <c:size val="5"/>
            <c:spPr>
              <a:solidFill>
                <a:srgbClr val="000080"/>
              </a:solidFill>
              <a:ln>
                <a:solidFill>
                  <a:srgbClr val="000080"/>
                </a:solidFill>
                <a:prstDash val="solid"/>
              </a:ln>
            </c:spPr>
          </c:marker>
          <c:cat>
            <c:numRef>
              <c:f>'Brd Link'!$A$11:$A$47</c:f>
              <c:numCache>
                <c:formatCode>General</c:formatCode>
                <c:ptCount val="37"/>
                <c:pt idx="0">
                  <c:v>1961</c:v>
                </c:pt>
                <c:pt idx="1">
                  <c:v>1962</c:v>
                </c:pt>
                <c:pt idx="2">
                  <c:v>1963</c:v>
                </c:pt>
                <c:pt idx="3">
                  <c:v>1964</c:v>
                </c:pt>
                <c:pt idx="4">
                  <c:v>1965</c:v>
                </c:pt>
                <c:pt idx="5">
                  <c:v>1966</c:v>
                </c:pt>
                <c:pt idx="6">
                  <c:v>1967</c:v>
                </c:pt>
                <c:pt idx="7">
                  <c:v>1968</c:v>
                </c:pt>
                <c:pt idx="8">
                  <c:v>1969</c:v>
                </c:pt>
                <c:pt idx="9">
                  <c:v>1970</c:v>
                </c:pt>
                <c:pt idx="10">
                  <c:v>1971</c:v>
                </c:pt>
                <c:pt idx="11">
                  <c:v>1972</c:v>
                </c:pt>
                <c:pt idx="12">
                  <c:v>1973</c:v>
                </c:pt>
                <c:pt idx="13">
                  <c:v>1974</c:v>
                </c:pt>
                <c:pt idx="14">
                  <c:v>1975</c:v>
                </c:pt>
                <c:pt idx="15">
                  <c:v>1976</c:v>
                </c:pt>
                <c:pt idx="16">
                  <c:v>1977</c:v>
                </c:pt>
                <c:pt idx="17">
                  <c:v>1978</c:v>
                </c:pt>
                <c:pt idx="18">
                  <c:v>1979</c:v>
                </c:pt>
                <c:pt idx="19">
                  <c:v>1980</c:v>
                </c:pt>
                <c:pt idx="20">
                  <c:v>1981</c:v>
                </c:pt>
                <c:pt idx="21">
                  <c:v>1982</c:v>
                </c:pt>
                <c:pt idx="22">
                  <c:v>1983</c:v>
                </c:pt>
                <c:pt idx="23">
                  <c:v>1984</c:v>
                </c:pt>
                <c:pt idx="24">
                  <c:v>1985</c:v>
                </c:pt>
                <c:pt idx="25">
                  <c:v>1986</c:v>
                </c:pt>
                <c:pt idx="26">
                  <c:v>1987</c:v>
                </c:pt>
                <c:pt idx="27">
                  <c:v>1988</c:v>
                </c:pt>
                <c:pt idx="28">
                  <c:v>1989</c:v>
                </c:pt>
                <c:pt idx="29">
                  <c:v>1990</c:v>
                </c:pt>
                <c:pt idx="30">
                  <c:v>1991</c:v>
                </c:pt>
                <c:pt idx="31">
                  <c:v>1992</c:v>
                </c:pt>
                <c:pt idx="32">
                  <c:v>1993</c:v>
                </c:pt>
                <c:pt idx="33">
                  <c:v>1994</c:v>
                </c:pt>
                <c:pt idx="34" formatCode="0_)">
                  <c:v>1995</c:v>
                </c:pt>
                <c:pt idx="35" formatCode="0_)">
                  <c:v>1996</c:v>
                </c:pt>
                <c:pt idx="36" formatCode="0_)">
                  <c:v>1997</c:v>
                </c:pt>
              </c:numCache>
            </c:numRef>
          </c:cat>
          <c:val>
            <c:numRef>
              <c:f>'Brd Link'!$E$11:$E$49</c:f>
              <c:numCache>
                <c:formatCode>#,##0_);\(#,##0\)</c:formatCode>
                <c:ptCount val="39"/>
                <c:pt idx="0">
                  <c:v>71615.903745300515</c:v>
                </c:pt>
                <c:pt idx="1">
                  <c:v>47693.868321127309</c:v>
                </c:pt>
                <c:pt idx="2">
                  <c:v>4236.0565954447939</c:v>
                </c:pt>
                <c:pt idx="3">
                  <c:v>6361.0343934533639</c:v>
                </c:pt>
                <c:pt idx="4">
                  <c:v>379.22291204008309</c:v>
                </c:pt>
                <c:pt idx="5">
                  <c:v>4184.0350749933223</c:v>
                </c:pt>
                <c:pt idx="6">
                  <c:v>2323.2100230410065</c:v>
                </c:pt>
                <c:pt idx="7">
                  <c:v>17573.119769802408</c:v>
                </c:pt>
                <c:pt idx="8">
                  <c:v>25478.999999999985</c:v>
                </c:pt>
                <c:pt idx="9">
                  <c:v>7081.0682034509573</c:v>
                </c:pt>
                <c:pt idx="10">
                  <c:v>3273.3156656187944</c:v>
                </c:pt>
                <c:pt idx="11">
                  <c:v>12447.849019260784</c:v>
                </c:pt>
                <c:pt idx="12">
                  <c:v>27374.099996765071</c:v>
                </c:pt>
                <c:pt idx="13">
                  <c:v>7173.3894483794302</c:v>
                </c:pt>
                <c:pt idx="14">
                  <c:v>10490.596275512966</c:v>
                </c:pt>
                <c:pt idx="15">
                  <c:v>5360.6418899380178</c:v>
                </c:pt>
                <c:pt idx="16">
                  <c:v>206574.75022171927</c:v>
                </c:pt>
                <c:pt idx="17">
                  <c:v>49451.536070921153</c:v>
                </c:pt>
                <c:pt idx="18">
                  <c:v>81377.595887697578</c:v>
                </c:pt>
                <c:pt idx="19">
                  <c:v>17078.08927074348</c:v>
                </c:pt>
                <c:pt idx="20">
                  <c:v>117912.62915245809</c:v>
                </c:pt>
                <c:pt idx="21">
                  <c:v>130462.91282755243</c:v>
                </c:pt>
                <c:pt idx="22">
                  <c:v>121863.40619494946</c:v>
                </c:pt>
                <c:pt idx="23">
                  <c:v>95723.898052422024</c:v>
                </c:pt>
                <c:pt idx="24">
                  <c:v>56813.475648974505</c:v>
                </c:pt>
                <c:pt idx="25">
                  <c:v>235241.49387653868</c:v>
                </c:pt>
                <c:pt idx="26">
                  <c:v>159648.33487453967</c:v>
                </c:pt>
                <c:pt idx="27">
                  <c:v>88769.186810595143</c:v>
                </c:pt>
                <c:pt idx="28">
                  <c:v>240612.912267554</c:v>
                </c:pt>
                <c:pt idx="29">
                  <c:v>175886.78090249607</c:v>
                </c:pt>
                <c:pt idx="30">
                  <c:v>93387.974354544465</c:v>
                </c:pt>
                <c:pt idx="31">
                  <c:v>112579.81465782334</c:v>
                </c:pt>
                <c:pt idx="32">
                  <c:v>802613.36083504581</c:v>
                </c:pt>
                <c:pt idx="33">
                  <c:v>112668.45951798014</c:v>
                </c:pt>
                <c:pt idx="34">
                  <c:v>101731.50132165727</c:v>
                </c:pt>
                <c:pt idx="35">
                  <c:v>66093.124069894606</c:v>
                </c:pt>
                <c:pt idx="36">
                  <c:v>160819.07519867778</c:v>
                </c:pt>
                <c:pt idx="37">
                  <c:v>56834.22212716884</c:v>
                </c:pt>
                <c:pt idx="38">
                  <c:v>71103.192868462647</c:v>
                </c:pt>
              </c:numCache>
            </c:numRef>
          </c:val>
          <c:smooth val="0"/>
        </c:ser>
        <c:dLbls>
          <c:showLegendKey val="0"/>
          <c:showVal val="0"/>
          <c:showCatName val="0"/>
          <c:showSerName val="0"/>
          <c:showPercent val="0"/>
          <c:showBubbleSize val="0"/>
        </c:dLbls>
        <c:marker val="1"/>
        <c:smooth val="0"/>
        <c:axId val="353399936"/>
        <c:axId val="353402240"/>
      </c:lineChart>
      <c:lineChart>
        <c:grouping val="standard"/>
        <c:varyColors val="0"/>
        <c:ser>
          <c:idx val="1"/>
          <c:order val="1"/>
          <c:tx>
            <c:v>Age 0.2</c:v>
          </c:tx>
          <c:spPr>
            <a:ln w="12700">
              <a:solidFill>
                <a:srgbClr val="FF00FF"/>
              </a:solidFill>
              <a:prstDash val="solid"/>
            </a:ln>
          </c:spPr>
          <c:marker>
            <c:symbol val="square"/>
            <c:size val="5"/>
            <c:spPr>
              <a:solidFill>
                <a:srgbClr val="FF00FF"/>
              </a:solidFill>
              <a:ln>
                <a:solidFill>
                  <a:srgbClr val="FF00FF"/>
                </a:solidFill>
                <a:prstDash val="solid"/>
              </a:ln>
            </c:spPr>
          </c:marker>
          <c:val>
            <c:numRef>
              <c:f>'Brd Link'!$C$11:$C$50</c:f>
              <c:numCache>
                <c:formatCode>#,##0_);\(#,##0\)</c:formatCode>
                <c:ptCount val="40"/>
                <c:pt idx="1">
                  <c:v>0</c:v>
                </c:pt>
                <c:pt idx="2">
                  <c:v>1717.6810329433952</c:v>
                </c:pt>
                <c:pt idx="3">
                  <c:v>0</c:v>
                </c:pt>
                <c:pt idx="4">
                  <c:v>604.10285032127808</c:v>
                </c:pt>
                <c:pt idx="5">
                  <c:v>932.63178685723972</c:v>
                </c:pt>
                <c:pt idx="6">
                  <c:v>1048.7488775917957</c:v>
                </c:pt>
                <c:pt idx="7">
                  <c:v>1555.3724171153767</c:v>
                </c:pt>
                <c:pt idx="8">
                  <c:v>0</c:v>
                </c:pt>
                <c:pt idx="9">
                  <c:v>8415.1073745845188</c:v>
                </c:pt>
                <c:pt idx="10">
                  <c:v>740.64952573521225</c:v>
                </c:pt>
                <c:pt idx="11">
                  <c:v>1105.0508616488651</c:v>
                </c:pt>
                <c:pt idx="12">
                  <c:v>2993.2049594594878</c:v>
                </c:pt>
                <c:pt idx="13">
                  <c:v>548.40546129973586</c:v>
                </c:pt>
                <c:pt idx="14">
                  <c:v>11.538919019497669</c:v>
                </c:pt>
                <c:pt idx="15">
                  <c:v>4.6119970666103276</c:v>
                </c:pt>
                <c:pt idx="16">
                  <c:v>5360.6418899380178</c:v>
                </c:pt>
                <c:pt idx="17">
                  <c:v>5156.6596589333894</c:v>
                </c:pt>
                <c:pt idx="18">
                  <c:v>24216.593045202982</c:v>
                </c:pt>
                <c:pt idx="19">
                  <c:v>5295.614144041022</c:v>
                </c:pt>
                <c:pt idx="20">
                  <c:v>7112.6634510228778</c:v>
                </c:pt>
                <c:pt idx="21">
                  <c:v>53085.107367813187</c:v>
                </c:pt>
                <c:pt idx="22">
                  <c:v>16178.98562348138</c:v>
                </c:pt>
                <c:pt idx="23">
                  <c:v>8518.9756452433139</c:v>
                </c:pt>
                <c:pt idx="24">
                  <c:v>10522.1265</c:v>
                </c:pt>
                <c:pt idx="25">
                  <c:v>19519.513784249291</c:v>
                </c:pt>
                <c:pt idx="26">
                  <c:v>21116.518079352791</c:v>
                </c:pt>
                <c:pt idx="27">
                  <c:v>8380.83</c:v>
                </c:pt>
                <c:pt idx="28">
                  <c:v>22491.364989534712</c:v>
                </c:pt>
                <c:pt idx="29">
                  <c:v>13668.933644713463</c:v>
                </c:pt>
                <c:pt idx="30">
                  <c:v>18534.721988168709</c:v>
                </c:pt>
                <c:pt idx="31">
                  <c:v>13539.73541244292</c:v>
                </c:pt>
                <c:pt idx="32">
                  <c:v>44520.814705183351</c:v>
                </c:pt>
                <c:pt idx="33">
                  <c:v>31914.140420560962</c:v>
                </c:pt>
                <c:pt idx="34">
                  <c:v>18347.456281446943</c:v>
                </c:pt>
                <c:pt idx="35">
                  <c:v>22339.832869201946</c:v>
                </c:pt>
                <c:pt idx="36">
                  <c:v>24855.648557715551</c:v>
                </c:pt>
                <c:pt idx="37">
                  <c:v>4598.641973520168</c:v>
                </c:pt>
                <c:pt idx="38">
                  <c:v>17303.141708533629</c:v>
                </c:pt>
                <c:pt idx="39">
                  <c:v>16645.747942705064</c:v>
                </c:pt>
              </c:numCache>
            </c:numRef>
          </c:val>
          <c:smooth val="0"/>
        </c:ser>
        <c:dLbls>
          <c:showLegendKey val="0"/>
          <c:showVal val="0"/>
          <c:showCatName val="0"/>
          <c:showSerName val="0"/>
          <c:showPercent val="0"/>
          <c:showBubbleSize val="0"/>
        </c:dLbls>
        <c:marker val="1"/>
        <c:smooth val="0"/>
        <c:axId val="353408512"/>
        <c:axId val="353410048"/>
      </c:lineChart>
      <c:catAx>
        <c:axId val="353399936"/>
        <c:scaling>
          <c:orientation val="minMax"/>
        </c:scaling>
        <c:delete val="0"/>
        <c:axPos val="b"/>
        <c:title>
          <c:tx>
            <c:rich>
              <a:bodyPr/>
              <a:lstStyle/>
              <a:p>
                <a:pPr>
                  <a:defRPr sz="950" b="1" i="0" u="none" strike="noStrike" baseline="0">
                    <a:solidFill>
                      <a:srgbClr val="000000"/>
                    </a:solidFill>
                    <a:latin typeface="Times New Roman"/>
                    <a:ea typeface="Times New Roman"/>
                    <a:cs typeface="Times New Roman"/>
                  </a:defRPr>
                </a:pPr>
                <a:r>
                  <a:rPr lang="en-US"/>
                  <a:t>Brood Year</a:t>
                </a:r>
              </a:p>
            </c:rich>
          </c:tx>
          <c:layout>
            <c:manualLayout>
              <c:xMode val="edge"/>
              <c:yMode val="edge"/>
              <c:x val="0.48499890523188705"/>
              <c:y val="0.8586147143978185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2700000" vert="horz"/>
          <a:lstStyle/>
          <a:p>
            <a:pPr>
              <a:defRPr sz="950" b="0" i="0" u="none" strike="noStrike" baseline="0">
                <a:solidFill>
                  <a:srgbClr val="000000"/>
                </a:solidFill>
                <a:latin typeface="Times New Roman"/>
                <a:ea typeface="Times New Roman"/>
                <a:cs typeface="Times New Roman"/>
              </a:defRPr>
            </a:pPr>
            <a:endParaRPr lang="en-US"/>
          </a:p>
        </c:txPr>
        <c:crossAx val="353402240"/>
        <c:crosses val="autoZero"/>
        <c:auto val="1"/>
        <c:lblAlgn val="ctr"/>
        <c:lblOffset val="100"/>
        <c:tickLblSkip val="2"/>
        <c:tickMarkSkip val="1"/>
        <c:noMultiLvlLbl val="0"/>
      </c:catAx>
      <c:valAx>
        <c:axId val="353402240"/>
        <c:scaling>
          <c:orientation val="minMax"/>
        </c:scaling>
        <c:delete val="0"/>
        <c:axPos val="l"/>
        <c:title>
          <c:tx>
            <c:rich>
              <a:bodyPr/>
              <a:lstStyle/>
              <a:p>
                <a:pPr>
                  <a:defRPr sz="950" b="1" i="0" u="none" strike="noStrike" baseline="0">
                    <a:solidFill>
                      <a:srgbClr val="000000"/>
                    </a:solidFill>
                    <a:latin typeface="Times New Roman"/>
                    <a:ea typeface="Times New Roman"/>
                    <a:cs typeface="Times New Roman"/>
                  </a:defRPr>
                </a:pPr>
                <a:r>
                  <a:rPr lang="en-US"/>
                  <a:t>Total Return</a:t>
                </a:r>
              </a:p>
            </c:rich>
          </c:tx>
          <c:layout>
            <c:manualLayout>
              <c:xMode val="edge"/>
              <c:yMode val="edge"/>
              <c:x val="1.9061049259022338E-2"/>
              <c:y val="0.38092031279595701"/>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Times New Roman"/>
                <a:ea typeface="Times New Roman"/>
                <a:cs typeface="Times New Roman"/>
              </a:defRPr>
            </a:pPr>
            <a:endParaRPr lang="en-US"/>
          </a:p>
        </c:txPr>
        <c:crossAx val="353399936"/>
        <c:crosses val="autoZero"/>
        <c:crossBetween val="between"/>
      </c:valAx>
      <c:catAx>
        <c:axId val="353408512"/>
        <c:scaling>
          <c:orientation val="minMax"/>
        </c:scaling>
        <c:delete val="1"/>
        <c:axPos val="b"/>
        <c:majorTickMark val="out"/>
        <c:minorTickMark val="none"/>
        <c:tickLblPos val="none"/>
        <c:crossAx val="353410048"/>
        <c:crosses val="autoZero"/>
        <c:auto val="1"/>
        <c:lblAlgn val="ctr"/>
        <c:lblOffset val="100"/>
        <c:noMultiLvlLbl val="0"/>
      </c:catAx>
      <c:valAx>
        <c:axId val="353410048"/>
        <c:scaling>
          <c:orientation val="minMax"/>
        </c:scaling>
        <c:delete val="0"/>
        <c:axPos val="r"/>
        <c:numFmt formatCode="General" sourceLinked="1"/>
        <c:majorTickMark val="cross"/>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Times New Roman"/>
                <a:ea typeface="Times New Roman"/>
                <a:cs typeface="Times New Roman"/>
              </a:defRPr>
            </a:pPr>
            <a:endParaRPr lang="en-US"/>
          </a:p>
        </c:txPr>
        <c:crossAx val="353408512"/>
        <c:crosses val="max"/>
        <c:crossBetween val="between"/>
      </c:valAx>
      <c:spPr>
        <a:solidFill>
          <a:srgbClr val="FFFFFF"/>
        </a:solidFill>
        <a:ln w="25400">
          <a:noFill/>
        </a:ln>
      </c:spPr>
    </c:plotArea>
    <c:legend>
      <c:legendPos val="b"/>
      <c:layout>
        <c:manualLayout>
          <c:xMode val="edge"/>
          <c:yMode val="edge"/>
          <c:x val="0.42252084909661175"/>
          <c:y val="0.93891690342830869"/>
          <c:w val="0.21073094479874291"/>
          <c:h val="4.9416781665178967E-2"/>
        </c:manualLayout>
      </c:layout>
      <c:overlay val="0"/>
      <c:spPr>
        <a:solidFill>
          <a:srgbClr val="FFFFFF"/>
        </a:solidFill>
        <a:ln w="3175">
          <a:solidFill>
            <a:srgbClr val="000000"/>
          </a:solidFill>
          <a:prstDash val="solid"/>
        </a:ln>
      </c:spPr>
      <c:txPr>
        <a:bodyPr/>
        <a:lstStyle/>
        <a:p>
          <a:pPr>
            <a:defRPr sz="845" b="0" i="0" u="none" strike="noStrike" baseline="0">
              <a:solidFill>
                <a:srgbClr val="000000"/>
              </a:solidFill>
              <a:latin typeface="Times New Roman"/>
              <a:ea typeface="Times New Roman"/>
              <a:cs typeface="Times New Roman"/>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Copper River sockeye salmon return</a:t>
            </a:r>
          </a:p>
        </c:rich>
      </c:tx>
      <c:layout>
        <c:manualLayout>
          <c:xMode val="edge"/>
          <c:yMode val="edge"/>
          <c:x val="0.25"/>
          <c:y val="3.2171581769436998E-2"/>
        </c:manualLayout>
      </c:layout>
      <c:overlay val="0"/>
      <c:spPr>
        <a:noFill/>
        <a:ln w="25400">
          <a:noFill/>
        </a:ln>
      </c:spPr>
    </c:title>
    <c:autoTitleDeleted val="0"/>
    <c:plotArea>
      <c:layout>
        <c:manualLayout>
          <c:layoutTarget val="inner"/>
          <c:xMode val="edge"/>
          <c:yMode val="edge"/>
          <c:x val="0.15558510638298026"/>
          <c:y val="0.12600552687972164"/>
          <c:w val="0.81648936170212116"/>
          <c:h val="0.65147538365473601"/>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'Brd Tbl'!$A$8:$A$56</c:f>
              <c:numCache>
                <c:formatCode>General</c:formatCode>
                <c:ptCount val="49"/>
                <c:pt idx="0">
                  <c:v>1961</c:v>
                </c:pt>
                <c:pt idx="1">
                  <c:v>1962</c:v>
                </c:pt>
                <c:pt idx="2">
                  <c:v>1963</c:v>
                </c:pt>
                <c:pt idx="3">
                  <c:v>1964</c:v>
                </c:pt>
                <c:pt idx="4">
                  <c:v>1965</c:v>
                </c:pt>
                <c:pt idx="5">
                  <c:v>1966</c:v>
                </c:pt>
                <c:pt idx="6">
                  <c:v>1967</c:v>
                </c:pt>
                <c:pt idx="7">
                  <c:v>1968</c:v>
                </c:pt>
                <c:pt idx="8">
                  <c:v>1969</c:v>
                </c:pt>
                <c:pt idx="9">
                  <c:v>1970</c:v>
                </c:pt>
                <c:pt idx="10">
                  <c:v>1971</c:v>
                </c:pt>
                <c:pt idx="11">
                  <c:v>1972</c:v>
                </c:pt>
                <c:pt idx="12">
                  <c:v>1973</c:v>
                </c:pt>
                <c:pt idx="13">
                  <c:v>1974</c:v>
                </c:pt>
                <c:pt idx="14">
                  <c:v>1975</c:v>
                </c:pt>
                <c:pt idx="15">
                  <c:v>1976</c:v>
                </c:pt>
                <c:pt idx="16">
                  <c:v>1977</c:v>
                </c:pt>
                <c:pt idx="17">
                  <c:v>1978</c:v>
                </c:pt>
                <c:pt idx="18">
                  <c:v>1979</c:v>
                </c:pt>
                <c:pt idx="19">
                  <c:v>1980</c:v>
                </c:pt>
                <c:pt idx="20">
                  <c:v>1981</c:v>
                </c:pt>
                <c:pt idx="21">
                  <c:v>1982</c:v>
                </c:pt>
                <c:pt idx="22">
                  <c:v>1983</c:v>
                </c:pt>
                <c:pt idx="23">
                  <c:v>1984</c:v>
                </c:pt>
                <c:pt idx="24">
                  <c:v>1985</c:v>
                </c:pt>
                <c:pt idx="25">
                  <c:v>1986</c:v>
                </c:pt>
                <c:pt idx="26">
                  <c:v>1987</c:v>
                </c:pt>
                <c:pt idx="27">
                  <c:v>1988</c:v>
                </c:pt>
                <c:pt idx="28">
                  <c:v>1989</c:v>
                </c:pt>
                <c:pt idx="29">
                  <c:v>1990</c:v>
                </c:pt>
                <c:pt idx="30">
                  <c:v>1991</c:v>
                </c:pt>
                <c:pt idx="31">
                  <c:v>1992</c:v>
                </c:pt>
                <c:pt idx="32">
                  <c:v>1993</c:v>
                </c:pt>
                <c:pt idx="33">
                  <c:v>1994</c:v>
                </c:pt>
                <c:pt idx="34">
                  <c:v>1995</c:v>
                </c:pt>
                <c:pt idx="35">
                  <c:v>1996</c:v>
                </c:pt>
                <c:pt idx="36">
                  <c:v>1997</c:v>
                </c:pt>
                <c:pt idx="37">
                  <c:v>1998</c:v>
                </c:pt>
                <c:pt idx="38">
                  <c:v>1999</c:v>
                </c:pt>
                <c:pt idx="39">
                  <c:v>2000</c:v>
                </c:pt>
                <c:pt idx="40">
                  <c:v>2001</c:v>
                </c:pt>
                <c:pt idx="41">
                  <c:v>2002</c:v>
                </c:pt>
                <c:pt idx="42">
                  <c:v>2003</c:v>
                </c:pt>
                <c:pt idx="43">
                  <c:v>2004</c:v>
                </c:pt>
                <c:pt idx="44">
                  <c:v>2005</c:v>
                </c:pt>
                <c:pt idx="45">
                  <c:v>2006</c:v>
                </c:pt>
                <c:pt idx="46">
                  <c:v>2007</c:v>
                </c:pt>
                <c:pt idx="47">
                  <c:v>2008</c:v>
                </c:pt>
                <c:pt idx="48">
                  <c:v>2009</c:v>
                </c:pt>
              </c:numCache>
            </c:numRef>
          </c:cat>
          <c:val>
            <c:numRef>
              <c:f>'Brd Tbl'!$P$8:$P$56</c:f>
              <c:numCache>
                <c:formatCode>#,##0_);\(#,##0\)</c:formatCode>
                <c:ptCount val="49"/>
                <c:pt idx="0">
                  <c:v>179040.49850974398</c:v>
                </c:pt>
                <c:pt idx="1">
                  <c:v>102401.66367310109</c:v>
                </c:pt>
                <c:pt idx="2">
                  <c:v>97592.469650151805</c:v>
                </c:pt>
                <c:pt idx="3">
                  <c:v>290718.45227450889</c:v>
                </c:pt>
                <c:pt idx="4">
                  <c:v>386377.08528941998</c:v>
                </c:pt>
                <c:pt idx="5">
                  <c:v>302159.62071066484</c:v>
                </c:pt>
                <c:pt idx="6">
                  <c:v>97321.711125474932</c:v>
                </c:pt>
                <c:pt idx="7">
                  <c:v>145881.52486171451</c:v>
                </c:pt>
                <c:pt idx="8">
                  <c:v>101514.29846521815</c:v>
                </c:pt>
                <c:pt idx="9">
                  <c:v>83934.462420078504</c:v>
                </c:pt>
                <c:pt idx="10">
                  <c:v>48348.917227885802</c:v>
                </c:pt>
                <c:pt idx="11">
                  <c:v>140037.97254138521</c:v>
                </c:pt>
                <c:pt idx="12">
                  <c:v>30330.912651635219</c:v>
                </c:pt>
                <c:pt idx="13">
                  <c:v>154457.91935439411</c:v>
                </c:pt>
                <c:pt idx="14">
                  <c:v>68722.812745743839</c:v>
                </c:pt>
                <c:pt idx="15">
                  <c:v>173715.68474284798</c:v>
                </c:pt>
                <c:pt idx="16">
                  <c:v>135148.94242353513</c:v>
                </c:pt>
                <c:pt idx="17">
                  <c:v>359995.48750384717</c:v>
                </c:pt>
                <c:pt idx="18">
                  <c:v>346502.19282529014</c:v>
                </c:pt>
                <c:pt idx="19">
                  <c:v>203458.33386630402</c:v>
                </c:pt>
                <c:pt idx="20">
                  <c:v>157083.49997006214</c:v>
                </c:pt>
                <c:pt idx="21">
                  <c:v>292198.40738779912</c:v>
                </c:pt>
                <c:pt idx="22">
                  <c:v>113889.25746653602</c:v>
                </c:pt>
                <c:pt idx="23">
                  <c:v>294557.28228182066</c:v>
                </c:pt>
                <c:pt idx="24">
                  <c:v>240741.58041960336</c:v>
                </c:pt>
                <c:pt idx="25">
                  <c:v>283682.55642391811</c:v>
                </c:pt>
                <c:pt idx="26">
                  <c:v>229875.14425105081</c:v>
                </c:pt>
                <c:pt idx="27">
                  <c:v>237957.34811608869</c:v>
                </c:pt>
                <c:pt idx="28">
                  <c:v>249913.77094685714</c:v>
                </c:pt>
                <c:pt idx="29">
                  <c:v>210751.78888782303</c:v>
                </c:pt>
                <c:pt idx="30">
                  <c:v>443740.93051869422</c:v>
                </c:pt>
                <c:pt idx="31">
                  <c:v>505425.03393203206</c:v>
                </c:pt>
                <c:pt idx="32">
                  <c:v>247453.35635972215</c:v>
                </c:pt>
                <c:pt idx="33">
                  <c:v>271467.29571051238</c:v>
                </c:pt>
                <c:pt idx="34">
                  <c:v>219305.37513567525</c:v>
                </c:pt>
                <c:pt idx="35">
                  <c:v>76308.890082196463</c:v>
                </c:pt>
                <c:pt idx="36">
                  <c:v>100643.96414584623</c:v>
                </c:pt>
                <c:pt idx="37">
                  <c:v>359050.78446500207</c:v>
                </c:pt>
                <c:pt idx="38">
                  <c:v>272182.51143379207</c:v>
                </c:pt>
                <c:pt idx="39">
                  <c:v>501789.11599463865</c:v>
                </c:pt>
                <c:pt idx="40">
                  <c:v>258148.88316457791</c:v>
                </c:pt>
                <c:pt idx="41">
                  <c:v>401156.89491228049</c:v>
                </c:pt>
                <c:pt idx="42">
                  <c:v>144497.9544226641</c:v>
                </c:pt>
                <c:pt idx="43">
                  <c:v>103350.61858821202</c:v>
                </c:pt>
                <c:pt idx="44">
                  <c:v>348675.14452879829</c:v>
                </c:pt>
                <c:pt idx="45">
                  <c:v>409775.58032286481</c:v>
                </c:pt>
                <c:pt idx="46">
                  <c:v>442676.75714160182</c:v>
                </c:pt>
                <c:pt idx="47">
                  <c:v>456063.26080517849</c:v>
                </c:pt>
                <c:pt idx="48">
                  <c:v>650733.61710635398</c:v>
                </c:pt>
              </c:numCache>
            </c:numRef>
          </c:val>
          <c:smooth val="0"/>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cat>
            <c:numRef>
              <c:f>'Brd Tbl'!$A$8:$A$56</c:f>
              <c:numCache>
                <c:formatCode>General</c:formatCode>
                <c:ptCount val="49"/>
                <c:pt idx="0">
                  <c:v>1961</c:v>
                </c:pt>
                <c:pt idx="1">
                  <c:v>1962</c:v>
                </c:pt>
                <c:pt idx="2">
                  <c:v>1963</c:v>
                </c:pt>
                <c:pt idx="3">
                  <c:v>1964</c:v>
                </c:pt>
                <c:pt idx="4">
                  <c:v>1965</c:v>
                </c:pt>
                <c:pt idx="5">
                  <c:v>1966</c:v>
                </c:pt>
                <c:pt idx="6">
                  <c:v>1967</c:v>
                </c:pt>
                <c:pt idx="7">
                  <c:v>1968</c:v>
                </c:pt>
                <c:pt idx="8">
                  <c:v>1969</c:v>
                </c:pt>
                <c:pt idx="9">
                  <c:v>1970</c:v>
                </c:pt>
                <c:pt idx="10">
                  <c:v>1971</c:v>
                </c:pt>
                <c:pt idx="11">
                  <c:v>1972</c:v>
                </c:pt>
                <c:pt idx="12">
                  <c:v>1973</c:v>
                </c:pt>
                <c:pt idx="13">
                  <c:v>1974</c:v>
                </c:pt>
                <c:pt idx="14">
                  <c:v>1975</c:v>
                </c:pt>
                <c:pt idx="15">
                  <c:v>1976</c:v>
                </c:pt>
                <c:pt idx="16">
                  <c:v>1977</c:v>
                </c:pt>
                <c:pt idx="17">
                  <c:v>1978</c:v>
                </c:pt>
                <c:pt idx="18">
                  <c:v>1979</c:v>
                </c:pt>
                <c:pt idx="19">
                  <c:v>1980</c:v>
                </c:pt>
                <c:pt idx="20">
                  <c:v>1981</c:v>
                </c:pt>
                <c:pt idx="21">
                  <c:v>1982</c:v>
                </c:pt>
                <c:pt idx="22">
                  <c:v>1983</c:v>
                </c:pt>
                <c:pt idx="23">
                  <c:v>1984</c:v>
                </c:pt>
                <c:pt idx="24">
                  <c:v>1985</c:v>
                </c:pt>
                <c:pt idx="25">
                  <c:v>1986</c:v>
                </c:pt>
                <c:pt idx="26">
                  <c:v>1987</c:v>
                </c:pt>
                <c:pt idx="27">
                  <c:v>1988</c:v>
                </c:pt>
                <c:pt idx="28">
                  <c:v>1989</c:v>
                </c:pt>
                <c:pt idx="29">
                  <c:v>1990</c:v>
                </c:pt>
                <c:pt idx="30">
                  <c:v>1991</c:v>
                </c:pt>
                <c:pt idx="31">
                  <c:v>1992</c:v>
                </c:pt>
                <c:pt idx="32">
                  <c:v>1993</c:v>
                </c:pt>
                <c:pt idx="33">
                  <c:v>1994</c:v>
                </c:pt>
                <c:pt idx="34">
                  <c:v>1995</c:v>
                </c:pt>
                <c:pt idx="35">
                  <c:v>1996</c:v>
                </c:pt>
                <c:pt idx="36">
                  <c:v>1997</c:v>
                </c:pt>
                <c:pt idx="37">
                  <c:v>1998</c:v>
                </c:pt>
                <c:pt idx="38">
                  <c:v>1999</c:v>
                </c:pt>
                <c:pt idx="39">
                  <c:v>2000</c:v>
                </c:pt>
                <c:pt idx="40">
                  <c:v>2001</c:v>
                </c:pt>
                <c:pt idx="41">
                  <c:v>2002</c:v>
                </c:pt>
                <c:pt idx="42">
                  <c:v>2003</c:v>
                </c:pt>
                <c:pt idx="43">
                  <c:v>2004</c:v>
                </c:pt>
                <c:pt idx="44">
                  <c:v>2005</c:v>
                </c:pt>
                <c:pt idx="45">
                  <c:v>2006</c:v>
                </c:pt>
                <c:pt idx="46">
                  <c:v>2007</c:v>
                </c:pt>
                <c:pt idx="47">
                  <c:v>2008</c:v>
                </c:pt>
                <c:pt idx="48">
                  <c:v>2009</c:v>
                </c:pt>
              </c:numCache>
            </c:numRef>
          </c:cat>
          <c:val>
            <c:numRef>
              <c:f>'Brd Tbl'!$V$8:$V$55</c:f>
              <c:numCache>
                <c:formatCode>#,##0_);\(#,##0\)</c:formatCode>
                <c:ptCount val="48"/>
                <c:pt idx="0">
                  <c:v>1182522.7542456505</c:v>
                </c:pt>
                <c:pt idx="1">
                  <c:v>560800.76741469896</c:v>
                </c:pt>
                <c:pt idx="2">
                  <c:v>491920.16191207559</c:v>
                </c:pt>
                <c:pt idx="3">
                  <c:v>836133.8820333922</c:v>
                </c:pt>
                <c:pt idx="4">
                  <c:v>1126848.439217363</c:v>
                </c:pt>
                <c:pt idx="5">
                  <c:v>886578.61449924554</c:v>
                </c:pt>
                <c:pt idx="6">
                  <c:v>707854.19432154007</c:v>
                </c:pt>
                <c:pt idx="7">
                  <c:v>592986.4878251045</c:v>
                </c:pt>
                <c:pt idx="8">
                  <c:v>638486.34876982134</c:v>
                </c:pt>
                <c:pt idx="9">
                  <c:v>346614.00262167363</c:v>
                </c:pt>
                <c:pt idx="10">
                  <c:v>940919.76351097296</c:v>
                </c:pt>
                <c:pt idx="11">
                  <c:v>846188.38728043251</c:v>
                </c:pt>
                <c:pt idx="12">
                  <c:v>297364.96532358415</c:v>
                </c:pt>
                <c:pt idx="13">
                  <c:v>442734.39909796033</c:v>
                </c:pt>
                <c:pt idx="14">
                  <c:v>410835.62987088464</c:v>
                </c:pt>
                <c:pt idx="15">
                  <c:v>897075.92530656559</c:v>
                </c:pt>
                <c:pt idx="16">
                  <c:v>1351823.9406582871</c:v>
                </c:pt>
                <c:pt idx="17">
                  <c:v>817109.74979398493</c:v>
                </c:pt>
                <c:pt idx="18">
                  <c:v>1424421.7932741994</c:v>
                </c:pt>
                <c:pt idx="19">
                  <c:v>1044206.836082815</c:v>
                </c:pt>
                <c:pt idx="20">
                  <c:v>729707.86718836357</c:v>
                </c:pt>
                <c:pt idx="21">
                  <c:v>1361112.3412895144</c:v>
                </c:pt>
                <c:pt idx="22">
                  <c:v>536879.18023254443</c:v>
                </c:pt>
                <c:pt idx="23">
                  <c:v>1012944.0742998301</c:v>
                </c:pt>
                <c:pt idx="24">
                  <c:v>641426.45512191299</c:v>
                </c:pt>
                <c:pt idx="25">
                  <c:v>1292395.1381037389</c:v>
                </c:pt>
                <c:pt idx="26">
                  <c:v>1075295.1477904324</c:v>
                </c:pt>
                <c:pt idx="27">
                  <c:v>1329979.1552080857</c:v>
                </c:pt>
                <c:pt idx="28">
                  <c:v>1332570.2372110838</c:v>
                </c:pt>
                <c:pt idx="29">
                  <c:v>1060308.8407004261</c:v>
                </c:pt>
                <c:pt idx="30">
                  <c:v>1989184.4640360922</c:v>
                </c:pt>
                <c:pt idx="31">
                  <c:v>2415249.6642813412</c:v>
                </c:pt>
                <c:pt idx="32">
                  <c:v>1112912.7648551823</c:v>
                </c:pt>
                <c:pt idx="33">
                  <c:v>1216630.2738301605</c:v>
                </c:pt>
                <c:pt idx="34">
                  <c:v>929769.82433363562</c:v>
                </c:pt>
                <c:pt idx="35">
                  <c:v>1671044.5816115239</c:v>
                </c:pt>
                <c:pt idx="36">
                  <c:v>1250886.8726059287</c:v>
                </c:pt>
                <c:pt idx="37">
                  <c:v>1379966.5856725546</c:v>
                </c:pt>
                <c:pt idx="38">
                  <c:v>996194.75347909459</c:v>
                </c:pt>
                <c:pt idx="39">
                  <c:v>1434375.124038063</c:v>
                </c:pt>
                <c:pt idx="40">
                  <c:v>1472393.5551385009</c:v>
                </c:pt>
                <c:pt idx="41">
                  <c:v>2281728.634522045</c:v>
                </c:pt>
                <c:pt idx="42">
                  <c:v>796157.21431067027</c:v>
                </c:pt>
                <c:pt idx="43">
                  <c:v>940457.62252988853</c:v>
                </c:pt>
                <c:pt idx="44">
                  <c:v>730494.56928830943</c:v>
                </c:pt>
                <c:pt idx="45">
                  <c:v>1832418.5211423838</c:v>
                </c:pt>
                <c:pt idx="46">
                  <c:v>2079282.070390793</c:v>
                </c:pt>
                <c:pt idx="47">
                  <c:v>1478040.9578396173</c:v>
                </c:pt>
              </c:numCache>
            </c:numRef>
          </c:val>
          <c:smooth val="0"/>
        </c:ser>
        <c:dLbls>
          <c:showLegendKey val="0"/>
          <c:showVal val="0"/>
          <c:showCatName val="0"/>
          <c:showSerName val="0"/>
          <c:showPercent val="0"/>
          <c:showBubbleSize val="0"/>
        </c:dLbls>
        <c:marker val="1"/>
        <c:smooth val="0"/>
        <c:axId val="355358208"/>
        <c:axId val="355365248"/>
      </c:lineChart>
      <c:catAx>
        <c:axId val="355358208"/>
        <c:scaling>
          <c:orientation val="minMax"/>
        </c:scaling>
        <c:delete val="0"/>
        <c:axPos val="b"/>
        <c:title>
          <c:tx>
            <c:rich>
              <a:bodyPr/>
              <a:lstStyle/>
              <a:p>
                <a:pPr>
                  <a:defRPr sz="1200" b="1" i="0" u="none" strike="noStrike" baseline="0">
                    <a:solidFill>
                      <a:srgbClr val="000000"/>
                    </a:solidFill>
                    <a:latin typeface="Arial"/>
                    <a:ea typeface="Arial"/>
                    <a:cs typeface="Arial"/>
                  </a:defRPr>
                </a:pPr>
                <a:r>
                  <a:rPr lang="en-US"/>
                  <a:t>Brood Year</a:t>
                </a:r>
              </a:p>
            </c:rich>
          </c:tx>
          <c:layout>
            <c:manualLayout>
              <c:xMode val="edge"/>
              <c:yMode val="edge"/>
              <c:x val="0.50265957446809184"/>
              <c:y val="0.8847196245241466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5400000" vert="horz"/>
          <a:lstStyle/>
          <a:p>
            <a:pPr>
              <a:defRPr sz="925" b="0" i="0" u="none" strike="noStrike" baseline="0">
                <a:solidFill>
                  <a:srgbClr val="000000"/>
                </a:solidFill>
                <a:latin typeface="Arial"/>
                <a:ea typeface="Arial"/>
                <a:cs typeface="Arial"/>
              </a:defRPr>
            </a:pPr>
            <a:endParaRPr lang="en-US"/>
          </a:p>
        </c:txPr>
        <c:crossAx val="355365248"/>
        <c:crosses val="autoZero"/>
        <c:auto val="1"/>
        <c:lblAlgn val="ctr"/>
        <c:lblOffset val="100"/>
        <c:tickLblSkip val="2"/>
        <c:tickMarkSkip val="1"/>
        <c:noMultiLvlLbl val="0"/>
      </c:catAx>
      <c:valAx>
        <c:axId val="355365248"/>
        <c:scaling>
          <c:orientation val="minMax"/>
        </c:scaling>
        <c:delete val="0"/>
        <c:axPos val="l"/>
        <c:title>
          <c:tx>
            <c:rich>
              <a:bodyPr/>
              <a:lstStyle/>
              <a:p>
                <a:pPr>
                  <a:defRPr sz="1200" b="1" i="0" u="none" strike="noStrike" baseline="0">
                    <a:solidFill>
                      <a:srgbClr val="000000"/>
                    </a:solidFill>
                    <a:latin typeface="Arial"/>
                    <a:ea typeface="Arial"/>
                    <a:cs typeface="Arial"/>
                  </a:defRPr>
                </a:pPr>
                <a:r>
                  <a:rPr lang="en-US"/>
                  <a:t>Number</a:t>
                </a:r>
              </a:p>
            </c:rich>
          </c:tx>
          <c:layout>
            <c:manualLayout>
              <c:xMode val="edge"/>
              <c:yMode val="edge"/>
              <c:x val="1.9946808510638549E-2"/>
              <c:y val="0.36193085783848283"/>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55358208"/>
        <c:crosses val="autoZero"/>
        <c:crossBetween val="between"/>
      </c:valAx>
      <c:spPr>
        <a:solidFill>
          <a:srgbClr val="FFFFFF"/>
        </a:solidFill>
        <a:ln w="25400">
          <a:noFill/>
        </a:ln>
      </c:spPr>
    </c:plotArea>
    <c:legend>
      <c:legendPos val="r"/>
      <c:layout>
        <c:manualLayout>
          <c:xMode val="edge"/>
          <c:yMode val="edge"/>
          <c:x val="0.19414893617021403"/>
          <c:y val="0.25201100532674708"/>
          <c:w val="0.13031914893617041"/>
          <c:h val="0.1313675736913586"/>
        </c:manualLayout>
      </c:layout>
      <c:overlay val="0"/>
      <c:spPr>
        <a:solidFill>
          <a:srgbClr val="FFFFFF"/>
        </a:solidFill>
        <a:ln w="25400">
          <a:noFill/>
        </a:ln>
      </c:spPr>
      <c:txPr>
        <a:bodyPr/>
        <a:lstStyle/>
        <a:p>
          <a:pPr>
            <a:defRPr sz="10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455" r="0.75000000000000455" t="1" header="0.5" footer="0.5"/>
    <c:pageSetup orientation="landscape"/>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061569462177226E-2"/>
          <c:y val="3.9603960396039611E-2"/>
          <c:w val="0.875120897800439"/>
          <c:h val="0.80622347949080664"/>
        </c:manualLayout>
      </c:layout>
      <c:scatterChart>
        <c:scatterStyle val="lineMarker"/>
        <c:varyColors val="0"/>
        <c:ser>
          <c:idx val="0"/>
          <c:order val="0"/>
          <c:spPr>
            <a:ln w="3175">
              <a:solidFill>
                <a:srgbClr val="000000"/>
              </a:solidFill>
              <a:prstDash val="solid"/>
            </a:ln>
          </c:spPr>
          <c:marker>
            <c:symbol val="diamond"/>
            <c:size val="5"/>
            <c:spPr>
              <a:solidFill>
                <a:srgbClr val="000000"/>
              </a:solidFill>
              <a:ln>
                <a:solidFill>
                  <a:srgbClr val="000000"/>
                </a:solidFill>
                <a:prstDash val="solid"/>
              </a:ln>
            </c:spPr>
          </c:marker>
          <c:dLbls>
            <c:dLbl>
              <c:idx val="6"/>
              <c:layout>
                <c:manualLayout>
                  <c:x val="-3.3255629379882239E-2"/>
                  <c:y val="-4.4043256969116533E-2"/>
                </c:manualLayout>
              </c:layout>
              <c:dLblPos val="r"/>
              <c:showLegendKey val="0"/>
              <c:showVal val="1"/>
              <c:showCatName val="0"/>
              <c:showSerName val="0"/>
              <c:showPercent val="0"/>
              <c:showBubbleSize val="0"/>
            </c:dLbl>
            <c:dLbl>
              <c:idx val="10"/>
              <c:layout>
                <c:manualLayout>
                  <c:x val="-5.8368880641604427E-2"/>
                  <c:y val="-2.8498813885887996E-2"/>
                </c:manualLayout>
              </c:layout>
              <c:dLblPos val="r"/>
              <c:showLegendKey val="0"/>
              <c:showVal val="1"/>
              <c:showCatName val="0"/>
              <c:showSerName val="0"/>
              <c:showPercent val="0"/>
              <c:showBubbleSize val="0"/>
            </c:dLbl>
            <c:dLbl>
              <c:idx val="11"/>
              <c:layout>
                <c:manualLayout>
                  <c:x val="-3.1025644145272972E-2"/>
                  <c:y val="-3.6864797840864015E-2"/>
                </c:manualLayout>
              </c:layout>
              <c:dLblPos val="r"/>
              <c:showLegendKey val="0"/>
              <c:showVal val="1"/>
              <c:showCatName val="0"/>
              <c:showSerName val="0"/>
              <c:showPercent val="0"/>
              <c:showBubbleSize val="0"/>
            </c:dLbl>
            <c:dLbl>
              <c:idx val="13"/>
              <c:layout>
                <c:manualLayout>
                  <c:x val="-5.7030788648892092E-2"/>
                  <c:y val="-4.0938942038185825E-3"/>
                </c:manualLayout>
              </c:layout>
              <c:dLblPos val="r"/>
              <c:showLegendKey val="0"/>
              <c:showVal val="1"/>
              <c:showCatName val="0"/>
              <c:showSerName val="0"/>
              <c:showPercent val="0"/>
              <c:showBubbleSize val="0"/>
            </c:dLbl>
            <c:dLbl>
              <c:idx val="16"/>
              <c:layout>
                <c:manualLayout>
                  <c:x val="-5.9535260286613524E-2"/>
                  <c:y val="7.6193446116261875E-4"/>
                </c:manualLayout>
              </c:layout>
              <c:dLblPos val="r"/>
              <c:showLegendKey val="0"/>
              <c:showVal val="1"/>
              <c:showCatName val="0"/>
              <c:showSerName val="0"/>
              <c:showPercent val="0"/>
              <c:showBubbleSize val="0"/>
            </c:dLbl>
            <c:dLbl>
              <c:idx val="19"/>
              <c:layout>
                <c:manualLayout>
                  <c:x val="-2.7457566917951402E-2"/>
                  <c:y val="4.4192495740013417E-2"/>
                </c:manualLayout>
              </c:layout>
              <c:dLblPos val="r"/>
              <c:showLegendKey val="0"/>
              <c:showVal val="1"/>
              <c:showCatName val="0"/>
              <c:showSerName val="0"/>
              <c:showPercent val="0"/>
              <c:showBubbleSize val="0"/>
            </c:dLbl>
            <c:dLbl>
              <c:idx val="20"/>
              <c:layout>
                <c:manualLayout>
                  <c:x val="-3.3735879733381824E-2"/>
                  <c:y val="-4.2367476342685444E-2"/>
                </c:manualLayout>
              </c:layout>
              <c:dLblPos val="r"/>
              <c:showLegendKey val="0"/>
              <c:showVal val="1"/>
              <c:showCatName val="0"/>
              <c:showSerName val="0"/>
              <c:showPercent val="0"/>
              <c:showBubbleSize val="0"/>
            </c:dLbl>
            <c:spPr>
              <a:noFill/>
              <a:ln w="25400">
                <a:noFill/>
              </a:ln>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dLbls>
          <c:xVal>
            <c:numRef>
              <c:f>'Brd Tbl'!$AM$25:$AM$49</c:f>
              <c:numCache>
                <c:formatCode>General</c:formatCode>
                <c:ptCount val="25"/>
                <c:pt idx="0">
                  <c:v>1978</c:v>
                </c:pt>
                <c:pt idx="1">
                  <c:v>1979</c:v>
                </c:pt>
                <c:pt idx="2">
                  <c:v>1980</c:v>
                </c:pt>
                <c:pt idx="3">
                  <c:v>1981</c:v>
                </c:pt>
                <c:pt idx="4">
                  <c:v>1982</c:v>
                </c:pt>
                <c:pt idx="5">
                  <c:v>1983</c:v>
                </c:pt>
                <c:pt idx="6">
                  <c:v>1984</c:v>
                </c:pt>
                <c:pt idx="7">
                  <c:v>1985</c:v>
                </c:pt>
                <c:pt idx="8">
                  <c:v>1986</c:v>
                </c:pt>
                <c:pt idx="9">
                  <c:v>1987</c:v>
                </c:pt>
                <c:pt idx="10">
                  <c:v>1988</c:v>
                </c:pt>
                <c:pt idx="11">
                  <c:v>1989</c:v>
                </c:pt>
                <c:pt idx="12">
                  <c:v>1990</c:v>
                </c:pt>
                <c:pt idx="13">
                  <c:v>1991</c:v>
                </c:pt>
                <c:pt idx="14">
                  <c:v>1992</c:v>
                </c:pt>
                <c:pt idx="15">
                  <c:v>1993</c:v>
                </c:pt>
                <c:pt idx="16">
                  <c:v>1994</c:v>
                </c:pt>
                <c:pt idx="17">
                  <c:v>1995</c:v>
                </c:pt>
                <c:pt idx="18">
                  <c:v>1996</c:v>
                </c:pt>
                <c:pt idx="19">
                  <c:v>1997</c:v>
                </c:pt>
                <c:pt idx="20">
                  <c:v>1998</c:v>
                </c:pt>
                <c:pt idx="21">
                  <c:v>1999</c:v>
                </c:pt>
                <c:pt idx="22">
                  <c:v>2000</c:v>
                </c:pt>
                <c:pt idx="23">
                  <c:v>2001</c:v>
                </c:pt>
                <c:pt idx="24">
                  <c:v>2002</c:v>
                </c:pt>
              </c:numCache>
            </c:numRef>
          </c:xVal>
          <c:yVal>
            <c:numRef>
              <c:f>'Brd Tbl'!$AS$8:$AS$54</c:f>
              <c:numCache>
                <c:formatCode>0.00</c:formatCode>
                <c:ptCount val="47"/>
                <c:pt idx="0">
                  <c:v>4.2407507049433244</c:v>
                </c:pt>
                <c:pt idx="1">
                  <c:v>1.8337798685062183</c:v>
                </c:pt>
                <c:pt idx="2">
                  <c:v>2.3165446795464177</c:v>
                </c:pt>
                <c:pt idx="3">
                  <c:v>5.0494650428930816</c:v>
                </c:pt>
                <c:pt idx="4">
                  <c:v>4.77370282932519</c:v>
                </c:pt>
                <c:pt idx="5">
                  <c:v>3.9710139401694415</c:v>
                </c:pt>
                <c:pt idx="6">
                  <c:v>5.7015223885196029</c:v>
                </c:pt>
                <c:pt idx="7">
                  <c:v>3.5784927992469306</c:v>
                </c:pt>
                <c:pt idx="8">
                  <c:v>1.7391834400939787</c:v>
                </c:pt>
                <c:pt idx="9">
                  <c:v>1.5311408173012433</c:v>
                </c:pt>
                <c:pt idx="10">
                  <c:v>1.8584701826960837</c:v>
                </c:pt>
                <c:pt idx="11">
                  <c:v>2.5481171046493887</c:v>
                </c:pt>
                <c:pt idx="12">
                  <c:v>1.0615728838871494</c:v>
                </c:pt>
                <c:pt idx="13">
                  <c:v>3.1502276040565862</c:v>
                </c:pt>
                <c:pt idx="14">
                  <c:v>3.4054544477237965</c:v>
                </c:pt>
                <c:pt idx="15">
                  <c:v>4.7055932390953794</c:v>
                </c:pt>
                <c:pt idx="16">
                  <c:v>5.2316979519654465</c:v>
                </c:pt>
                <c:pt idx="17">
                  <c:v>6.2910975889244405</c:v>
                </c:pt>
                <c:pt idx="18">
                  <c:v>4.0474651733027338</c:v>
                </c:pt>
                <c:pt idx="19">
                  <c:v>2.4147240690823111</c:v>
                </c:pt>
                <c:pt idx="20">
                  <c:v>1.4296927519779419</c:v>
                </c:pt>
                <c:pt idx="21">
                  <c:v>3.1164458903810384</c:v>
                </c:pt>
                <c:pt idx="22">
                  <c:v>1.3939559693140398</c:v>
                </c:pt>
                <c:pt idx="23">
                  <c:v>1.9836537309181461</c:v>
                </c:pt>
                <c:pt idx="24">
                  <c:v>1.7232183820045008</c:v>
                </c:pt>
                <c:pt idx="25">
                  <c:v>3.7649536469389657</c:v>
                </c:pt>
                <c:pt idx="26">
                  <c:v>3.4311382816651852</c:v>
                </c:pt>
                <c:pt idx="27">
                  <c:v>3.5329063113237913</c:v>
                </c:pt>
                <c:pt idx="28">
                  <c:v>3.4024748343584461</c:v>
                </c:pt>
                <c:pt idx="29">
                  <c:v>2.7090686698011792</c:v>
                </c:pt>
                <c:pt idx="30">
                  <c:v>5.1274744073170604</c:v>
                </c:pt>
                <c:pt idx="31">
                  <c:v>5.6773337211538104</c:v>
                </c:pt>
                <c:pt idx="32">
                  <c:v>3.474331910596161</c:v>
                </c:pt>
                <c:pt idx="33">
                  <c:v>3.0458088348883523</c:v>
                </c:pt>
                <c:pt idx="34">
                  <c:v>2.5527466365269782</c:v>
                </c:pt>
                <c:pt idx="35">
                  <c:v>2.8194953086788264</c:v>
                </c:pt>
                <c:pt idx="36">
                  <c:v>1.7483748452052144</c:v>
                </c:pt>
                <c:pt idx="37">
                  <c:v>2.987931078770393</c:v>
                </c:pt>
                <c:pt idx="38">
                  <c:v>2.4538871476135635</c:v>
                </c:pt>
                <c:pt idx="39">
                  <c:v>4.2738742597017012</c:v>
                </c:pt>
                <c:pt idx="40">
                  <c:v>3.2584504651760482</c:v>
                </c:pt>
                <c:pt idx="41">
                  <c:v>3.9368761652748212</c:v>
                </c:pt>
                <c:pt idx="42">
                  <c:v>1.9419666340902046</c:v>
                </c:pt>
                <c:pt idx="43">
                  <c:v>2.0598877826468893</c:v>
                </c:pt>
                <c:pt idx="44">
                  <c:v>2.0192391118480484</c:v>
                </c:pt>
                <c:pt idx="45">
                  <c:v>3.1106415602659196</c:v>
                </c:pt>
                <c:pt idx="46">
                  <c:v>3.8339571976320515</c:v>
                </c:pt>
              </c:numCache>
            </c:numRef>
          </c:yVal>
          <c:smooth val="0"/>
        </c:ser>
        <c:dLbls>
          <c:showLegendKey val="0"/>
          <c:showVal val="0"/>
          <c:showCatName val="0"/>
          <c:showSerName val="0"/>
          <c:showPercent val="0"/>
          <c:showBubbleSize val="0"/>
        </c:dLbls>
        <c:axId val="353506816"/>
        <c:axId val="353508736"/>
      </c:scatterChart>
      <c:valAx>
        <c:axId val="353506816"/>
        <c:scaling>
          <c:orientation val="minMax"/>
        </c:scaling>
        <c:delete val="0"/>
        <c:axPos val="b"/>
        <c:title>
          <c:tx>
            <c:rich>
              <a:bodyPr/>
              <a:lstStyle/>
              <a:p>
                <a:pPr>
                  <a:defRPr sz="1400" b="0" i="0" u="none" strike="noStrike" baseline="0">
                    <a:solidFill>
                      <a:srgbClr val="000000"/>
                    </a:solidFill>
                    <a:latin typeface="SWISS"/>
                    <a:ea typeface="SWISS"/>
                    <a:cs typeface="SWISS"/>
                  </a:defRPr>
                </a:pPr>
                <a:r>
                  <a:rPr lang="en-US"/>
                  <a:t>Brood Year</a:t>
                </a:r>
              </a:p>
            </c:rich>
          </c:tx>
          <c:layout>
            <c:manualLayout>
              <c:xMode val="edge"/>
              <c:yMode val="edge"/>
              <c:x val="0.48415036016751745"/>
              <c:y val="0.93352192362093367"/>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5400000" vert="horz"/>
          <a:lstStyle/>
          <a:p>
            <a:pPr>
              <a:defRPr sz="1400" b="0" i="0" u="none" strike="noStrike" baseline="0">
                <a:solidFill>
                  <a:srgbClr val="000000"/>
                </a:solidFill>
                <a:latin typeface="SWISS"/>
                <a:ea typeface="SWISS"/>
                <a:cs typeface="SWISS"/>
              </a:defRPr>
            </a:pPr>
            <a:endParaRPr lang="en-US"/>
          </a:p>
        </c:txPr>
        <c:crossAx val="353508736"/>
        <c:crosses val="autoZero"/>
        <c:crossBetween val="midCat"/>
      </c:valAx>
      <c:valAx>
        <c:axId val="353508736"/>
        <c:scaling>
          <c:orientation val="minMax"/>
        </c:scaling>
        <c:delete val="0"/>
        <c:axPos val="l"/>
        <c:title>
          <c:tx>
            <c:rich>
              <a:bodyPr/>
              <a:lstStyle/>
              <a:p>
                <a:pPr>
                  <a:defRPr sz="1600" b="0" i="0" u="none" strike="noStrike" baseline="0">
                    <a:solidFill>
                      <a:srgbClr val="000000"/>
                    </a:solidFill>
                    <a:latin typeface="SWISS"/>
                    <a:ea typeface="SWISS"/>
                    <a:cs typeface="SWISS"/>
                  </a:defRPr>
                </a:pPr>
                <a:r>
                  <a:rPr lang="en-US"/>
                  <a:t>R/S</a:t>
                </a:r>
              </a:p>
            </c:rich>
          </c:tx>
          <c:layout>
            <c:manualLayout>
              <c:xMode val="edge"/>
              <c:yMode val="edge"/>
              <c:x val="1.536983669548527E-2"/>
              <c:y val="0.41442715700141441"/>
            </c:manualLayout>
          </c:layout>
          <c:overlay val="0"/>
          <c:spPr>
            <a:noFill/>
            <a:ln w="25400">
              <a:noFill/>
            </a:ln>
          </c:spPr>
        </c:title>
        <c:numFmt formatCode="0.00" sourceLinked="1"/>
        <c:majorTickMark val="in"/>
        <c:minorTickMark val="none"/>
        <c:tickLblPos val="nextTo"/>
        <c:spPr>
          <a:ln w="12700">
            <a:solidFill>
              <a:srgbClr val="000000"/>
            </a:solidFill>
            <a:prstDash val="solid"/>
          </a:ln>
        </c:spPr>
        <c:txPr>
          <a:bodyPr rot="0" vert="horz"/>
          <a:lstStyle/>
          <a:p>
            <a:pPr>
              <a:defRPr sz="1200" b="0" i="0" u="none" strike="noStrike" baseline="0">
                <a:solidFill>
                  <a:srgbClr val="000000"/>
                </a:solidFill>
                <a:latin typeface="SWISS"/>
                <a:ea typeface="SWISS"/>
                <a:cs typeface="SWISS"/>
              </a:defRPr>
            </a:pPr>
            <a:endParaRPr lang="en-US"/>
          </a:p>
        </c:txPr>
        <c:crossAx val="353506816"/>
        <c:crosses val="autoZero"/>
        <c:crossBetween val="midCat"/>
      </c:valAx>
      <c:spPr>
        <a:solidFill>
          <a:srgbClr val="FFFFFF"/>
        </a:solidFill>
        <a:ln w="25400">
          <a:noFill/>
        </a:ln>
      </c:spPr>
    </c:plotArea>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orientation="landscape"/>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3"/>
          <c:order val="0"/>
          <c:tx>
            <c:strRef>
              <c:f>'1.2xtotalRun'!$E$2</c:f>
              <c:strCache>
                <c:ptCount val="1"/>
                <c:pt idx="0">
                  <c:v>Wild stock</c:v>
                </c:pt>
              </c:strCache>
            </c:strRef>
          </c:tx>
          <c:spPr>
            <a:ln w="28575">
              <a:noFill/>
            </a:ln>
          </c:spPr>
          <c:marker>
            <c:symbol val="diamond"/>
            <c:size val="7"/>
          </c:marker>
          <c:trendline>
            <c:trendlineType val="linear"/>
            <c:dispRSqr val="1"/>
            <c:dispEq val="1"/>
            <c:trendlineLbl>
              <c:layout>
                <c:manualLayout>
                  <c:x val="-0.43905591226210189"/>
                  <c:y val="-1.040691002297792E-2"/>
                </c:manualLayout>
              </c:layout>
              <c:numFmt formatCode="General" sourceLinked="0"/>
              <c:txPr>
                <a:bodyPr/>
                <a:lstStyle/>
                <a:p>
                  <a:pPr>
                    <a:defRPr sz="1200"/>
                  </a:pPr>
                  <a:endParaRPr lang="en-US"/>
                </a:p>
              </c:txPr>
            </c:trendlineLbl>
          </c:trendline>
          <c:xVal>
            <c:numRef>
              <c:f>'1.2xtotalRun'!$B$4:$B$53</c:f>
              <c:numCache>
                <c:formatCode>#,##0_);\(#,##0\)</c:formatCode>
                <c:ptCount val="50"/>
                <c:pt idx="0">
                  <c:v>179040.49850974398</c:v>
                </c:pt>
                <c:pt idx="1">
                  <c:v>102401.66367310109</c:v>
                </c:pt>
                <c:pt idx="2">
                  <c:v>97592.469650151805</c:v>
                </c:pt>
                <c:pt idx="3">
                  <c:v>290718.45227450889</c:v>
                </c:pt>
                <c:pt idx="4">
                  <c:v>386377.08528941998</c:v>
                </c:pt>
                <c:pt idx="5">
                  <c:v>302159.62071066484</c:v>
                </c:pt>
                <c:pt idx="6">
                  <c:v>97321.711125474932</c:v>
                </c:pt>
                <c:pt idx="7">
                  <c:v>145881.52486171451</c:v>
                </c:pt>
                <c:pt idx="8">
                  <c:v>101514.29846521815</c:v>
                </c:pt>
                <c:pt idx="9">
                  <c:v>83934.462420078504</c:v>
                </c:pt>
                <c:pt idx="10">
                  <c:v>48348.917227885802</c:v>
                </c:pt>
                <c:pt idx="11">
                  <c:v>140037.97254138521</c:v>
                </c:pt>
                <c:pt idx="12">
                  <c:v>30330.912651635219</c:v>
                </c:pt>
                <c:pt idx="13">
                  <c:v>154457.91935439411</c:v>
                </c:pt>
                <c:pt idx="14">
                  <c:v>68722.812745743839</c:v>
                </c:pt>
                <c:pt idx="15">
                  <c:v>173715.68474284798</c:v>
                </c:pt>
                <c:pt idx="16">
                  <c:v>135148.94242353513</c:v>
                </c:pt>
                <c:pt idx="17">
                  <c:v>359995.48750384717</c:v>
                </c:pt>
                <c:pt idx="18">
                  <c:v>346502.19282529014</c:v>
                </c:pt>
                <c:pt idx="19">
                  <c:v>203458.33386630402</c:v>
                </c:pt>
                <c:pt idx="20">
                  <c:v>157083.49997006214</c:v>
                </c:pt>
                <c:pt idx="21">
                  <c:v>292198.40738779912</c:v>
                </c:pt>
                <c:pt idx="22">
                  <c:v>113889.25746653602</c:v>
                </c:pt>
                <c:pt idx="23">
                  <c:v>294557.28228182066</c:v>
                </c:pt>
                <c:pt idx="24">
                  <c:v>240741.58041960336</c:v>
                </c:pt>
                <c:pt idx="25">
                  <c:v>283682.55642391811</c:v>
                </c:pt>
                <c:pt idx="26">
                  <c:v>229875.14425105081</c:v>
                </c:pt>
                <c:pt idx="27">
                  <c:v>237957.34811608869</c:v>
                </c:pt>
                <c:pt idx="28">
                  <c:v>249913.77094685714</c:v>
                </c:pt>
                <c:pt idx="29">
                  <c:v>210751.78888782303</c:v>
                </c:pt>
                <c:pt idx="30">
                  <c:v>443740.93051869422</c:v>
                </c:pt>
                <c:pt idx="31">
                  <c:v>505425.03393203206</c:v>
                </c:pt>
                <c:pt idx="32">
                  <c:v>247453.35635972215</c:v>
                </c:pt>
                <c:pt idx="33">
                  <c:v>271467.29571051238</c:v>
                </c:pt>
                <c:pt idx="34">
                  <c:v>219305.37513567525</c:v>
                </c:pt>
                <c:pt idx="35">
                  <c:v>76308.890082196463</c:v>
                </c:pt>
                <c:pt idx="36">
                  <c:v>100643.96414584623</c:v>
                </c:pt>
                <c:pt idx="37">
                  <c:v>359050.78446500207</c:v>
                </c:pt>
                <c:pt idx="38">
                  <c:v>272182.51143379207</c:v>
                </c:pt>
                <c:pt idx="39">
                  <c:v>501789.11599463865</c:v>
                </c:pt>
                <c:pt idx="40">
                  <c:v>258148.88316457791</c:v>
                </c:pt>
                <c:pt idx="41">
                  <c:v>401156.89491228049</c:v>
                </c:pt>
                <c:pt idx="42">
                  <c:v>144497.9544226641</c:v>
                </c:pt>
                <c:pt idx="43">
                  <c:v>103350.61858821202</c:v>
                </c:pt>
                <c:pt idx="44">
                  <c:v>348675.14452879829</c:v>
                </c:pt>
                <c:pt idx="45">
                  <c:v>409775.58032286481</c:v>
                </c:pt>
                <c:pt idx="46">
                  <c:v>442676.75714160182</c:v>
                </c:pt>
                <c:pt idx="47">
                  <c:v>456063.26080517849</c:v>
                </c:pt>
                <c:pt idx="48">
                  <c:v>650733.61710635398</c:v>
                </c:pt>
                <c:pt idx="49">
                  <c:v>696926.54247166798</c:v>
                </c:pt>
              </c:numCache>
            </c:numRef>
          </c:xVal>
          <c:yVal>
            <c:numRef>
              <c:f>'1.2xtotalRun'!$E$4:$E$53</c:f>
              <c:numCache>
                <c:formatCode>#,##0</c:formatCode>
                <c:ptCount val="50"/>
                <c:pt idx="0">
                  <c:v>1426968</c:v>
                </c:pt>
                <c:pt idx="1">
                  <c:v>704978</c:v>
                </c:pt>
                <c:pt idx="2">
                  <c:v>848112</c:v>
                </c:pt>
                <c:pt idx="3">
                  <c:v>1278538</c:v>
                </c:pt>
                <c:pt idx="4">
                  <c:v>1491682</c:v>
                </c:pt>
                <c:pt idx="5">
                  <c:v>1250648</c:v>
                </c:pt>
                <c:pt idx="6">
                  <c:v>1168448</c:v>
                </c:pt>
                <c:pt idx="7">
                  <c:v>794980</c:v>
                </c:pt>
                <c:pt idx="8">
                  <c:v>843680</c:v>
                </c:pt>
                <c:pt idx="9">
                  <c:v>523359</c:v>
                </c:pt>
                <c:pt idx="10">
                  <c:v>1137425</c:v>
                </c:pt>
                <c:pt idx="11">
                  <c:v>1001564.2775033638</c:v>
                </c:pt>
                <c:pt idx="12">
                  <c:v>510878.70547443983</c:v>
                </c:pt>
                <c:pt idx="13">
                  <c:v>621659.1474358975</c:v>
                </c:pt>
                <c:pt idx="14">
                  <c:v>660391.6797237664</c:v>
                </c:pt>
                <c:pt idx="15">
                  <c:v>1322493.0318549268</c:v>
                </c:pt>
                <c:pt idx="16">
                  <c:v>1895557.1797603075</c:v>
                </c:pt>
                <c:pt idx="17">
                  <c:v>1428586.8681101864</c:v>
                </c:pt>
                <c:pt idx="18">
                  <c:v>1811514.7361524117</c:v>
                </c:pt>
                <c:pt idx="19">
                  <c:v>1604322.2163551403</c:v>
                </c:pt>
                <c:pt idx="20">
                  <c:v>1332560.0055745668</c:v>
                </c:pt>
                <c:pt idx="21">
                  <c:v>1718263.9938925835</c:v>
                </c:pt>
                <c:pt idx="22">
                  <c:v>1042871.9759558276</c:v>
                </c:pt>
                <c:pt idx="23">
                  <c:v>1509011.378424929</c:v>
                </c:pt>
                <c:pt idx="24">
                  <c:v>1495101.0198381976</c:v>
                </c:pt>
                <c:pt idx="25">
                  <c:v>1788048.9220859462</c:v>
                </c:pt>
                <c:pt idx="26">
                  <c:v>1569573.0405643724</c:v>
                </c:pt>
                <c:pt idx="27">
                  <c:v>2040314.1080709202</c:v>
                </c:pt>
                <c:pt idx="28">
                  <c:v>1838664.2833961954</c:v>
                </c:pt>
                <c:pt idx="29">
                  <c:v>1776292.4214672782</c:v>
                </c:pt>
                <c:pt idx="30">
                  <c:v>2861367.3295118865</c:v>
                </c:pt>
                <c:pt idx="31">
                  <c:v>3827961.7069207383</c:v>
                </c:pt>
                <c:pt idx="32">
                  <c:v>1644261.7972266297</c:v>
                </c:pt>
                <c:pt idx="33">
                  <c:v>1681595</c:v>
                </c:pt>
                <c:pt idx="34">
                  <c:v>1200684</c:v>
                </c:pt>
                <c:pt idx="35">
                  <c:v>2004403</c:v>
                </c:pt>
                <c:pt idx="36">
                  <c:v>1777856.5</c:v>
                </c:pt>
                <c:pt idx="37">
                  <c:v>1805186.5</c:v>
                </c:pt>
                <c:pt idx="38">
                  <c:v>1756052.7574119794</c:v>
                </c:pt>
                <c:pt idx="39">
                  <c:v>2070778.300560507</c:v>
                </c:pt>
                <c:pt idx="40">
                  <c:v>2242510</c:v>
                </c:pt>
                <c:pt idx="41">
                  <c:v>2823143</c:v>
                </c:pt>
                <c:pt idx="42">
                  <c:v>1056178</c:v>
                </c:pt>
                <c:pt idx="43">
                  <c:v>1589565</c:v>
                </c:pt>
                <c:pt idx="44">
                  <c:v>1270893</c:v>
                </c:pt>
                <c:pt idx="45">
                  <c:v>2539103</c:v>
                </c:pt>
                <c:pt idx="46">
                  <c:v>2810319.845475113</c:v>
                </c:pt>
                <c:pt idx="47">
                  <c:v>2539812</c:v>
                </c:pt>
                <c:pt idx="48">
                  <c:v>2847508.076601326</c:v>
                </c:pt>
                <c:pt idx="49">
                  <c:v>2746398.292268862</c:v>
                </c:pt>
              </c:numCache>
            </c:numRef>
          </c:yVal>
          <c:smooth val="0"/>
        </c:ser>
        <c:dLbls>
          <c:showLegendKey val="0"/>
          <c:showVal val="0"/>
          <c:showCatName val="0"/>
          <c:showSerName val="0"/>
          <c:showPercent val="0"/>
          <c:showBubbleSize val="0"/>
        </c:dLbls>
        <c:axId val="355402496"/>
        <c:axId val="355404032"/>
      </c:scatterChart>
      <c:valAx>
        <c:axId val="355402496"/>
        <c:scaling>
          <c:orientation val="minMax"/>
        </c:scaling>
        <c:delete val="0"/>
        <c:axPos val="b"/>
        <c:numFmt formatCode="#,##0_);\(#,##0\)" sourceLinked="1"/>
        <c:majorTickMark val="out"/>
        <c:minorTickMark val="none"/>
        <c:tickLblPos val="nextTo"/>
        <c:crossAx val="355404032"/>
        <c:crosses val="autoZero"/>
        <c:crossBetween val="midCat"/>
      </c:valAx>
      <c:valAx>
        <c:axId val="355404032"/>
        <c:scaling>
          <c:orientation val="minMax"/>
        </c:scaling>
        <c:delete val="0"/>
        <c:axPos val="l"/>
        <c:numFmt formatCode="#,##0" sourceLinked="1"/>
        <c:majorTickMark val="out"/>
        <c:minorTickMark val="none"/>
        <c:tickLblPos val="nextTo"/>
        <c:crossAx val="355402496"/>
        <c:crosses val="autoZero"/>
        <c:crossBetween val="midCat"/>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3"/>
          <c:order val="0"/>
          <c:tx>
            <c:strRef>
              <c:f>'1.2xtotalRun'!$E$2</c:f>
              <c:strCache>
                <c:ptCount val="1"/>
                <c:pt idx="0">
                  <c:v>Wild stock</c:v>
                </c:pt>
              </c:strCache>
            </c:strRef>
          </c:tx>
          <c:spPr>
            <a:ln w="28575">
              <a:noFill/>
            </a:ln>
          </c:spPr>
          <c:marker>
            <c:symbol val="diamond"/>
            <c:size val="7"/>
          </c:marker>
          <c:trendline>
            <c:trendlineType val="exp"/>
            <c:dispRSqr val="1"/>
            <c:dispEq val="1"/>
            <c:trendlineLbl>
              <c:layout>
                <c:manualLayout>
                  <c:x val="-0.43905591226210189"/>
                  <c:y val="-1.040691002297792E-2"/>
                </c:manualLayout>
              </c:layout>
              <c:numFmt formatCode="General" sourceLinked="0"/>
              <c:txPr>
                <a:bodyPr/>
                <a:lstStyle/>
                <a:p>
                  <a:pPr>
                    <a:defRPr sz="1200"/>
                  </a:pPr>
                  <a:endParaRPr lang="en-US"/>
                </a:p>
              </c:txPr>
            </c:trendlineLbl>
          </c:trendline>
          <c:xVal>
            <c:numRef>
              <c:f>'1.2xtotalRun'!$C$4:$C$53</c:f>
              <c:numCache>
                <c:formatCode>#,##0.000_);\(#,##0.000\)</c:formatCode>
                <c:ptCount val="50"/>
                <c:pt idx="0">
                  <c:v>12.095367307890312</c:v>
                </c:pt>
                <c:pt idx="1">
                  <c:v>11.536658238263195</c:v>
                </c:pt>
                <c:pt idx="2">
                  <c:v>11.488555614200711</c:v>
                </c:pt>
                <c:pt idx="3">
                  <c:v>12.580110559849002</c:v>
                </c:pt>
                <c:pt idx="4">
                  <c:v>12.864569076480791</c:v>
                </c:pt>
                <c:pt idx="5">
                  <c:v>12.618710702125638</c:v>
                </c:pt>
                <c:pt idx="6">
                  <c:v>11.485777379207695</c:v>
                </c:pt>
                <c:pt idx="7">
                  <c:v>11.890550097717687</c:v>
                </c:pt>
                <c:pt idx="8">
                  <c:v>11.527954939121013</c:v>
                </c:pt>
                <c:pt idx="9">
                  <c:v>11.337791564019003</c:v>
                </c:pt>
                <c:pt idx="10">
                  <c:v>10.786199106171235</c:v>
                </c:pt>
                <c:pt idx="11">
                  <c:v>11.849668897253039</c:v>
                </c:pt>
                <c:pt idx="12">
                  <c:v>10.319922690953129</c:v>
                </c:pt>
                <c:pt idx="13">
                  <c:v>11.947676971583181</c:v>
                </c:pt>
                <c:pt idx="14">
                  <c:v>11.137836486346464</c:v>
                </c:pt>
                <c:pt idx="15">
                  <c:v>12.065175246038875</c:v>
                </c:pt>
                <c:pt idx="16">
                  <c:v>11.814132726468909</c:v>
                </c:pt>
                <c:pt idx="17">
                  <c:v>12.793846775642196</c:v>
                </c:pt>
                <c:pt idx="18">
                  <c:v>12.755644426092186</c:v>
                </c:pt>
                <c:pt idx="19">
                  <c:v>12.223216515315409</c:v>
                </c:pt>
                <c:pt idx="20">
                  <c:v>11.964532789893058</c:v>
                </c:pt>
                <c:pt idx="21">
                  <c:v>12.585188327865673</c:v>
                </c:pt>
                <c:pt idx="22">
                  <c:v>11.642981829504725</c:v>
                </c:pt>
                <c:pt idx="23">
                  <c:v>12.593228770058985</c:v>
                </c:pt>
                <c:pt idx="24">
                  <c:v>12.391479356752267</c:v>
                </c:pt>
                <c:pt idx="25">
                  <c:v>12.555611132914068</c:v>
                </c:pt>
                <c:pt idx="26">
                  <c:v>12.345291589425951</c:v>
                </c:pt>
                <c:pt idx="27">
                  <c:v>12.379846726997387</c:v>
                </c:pt>
                <c:pt idx="28">
                  <c:v>12.428871221134534</c:v>
                </c:pt>
                <c:pt idx="29">
                  <c:v>12.258436364026526</c:v>
                </c:pt>
                <c:pt idx="30">
                  <c:v>13.002996181295167</c:v>
                </c:pt>
                <c:pt idx="31">
                  <c:v>13.133155005618168</c:v>
                </c:pt>
                <c:pt idx="32">
                  <c:v>12.418977384077587</c:v>
                </c:pt>
                <c:pt idx="33">
                  <c:v>12.511596953312337</c:v>
                </c:pt>
                <c:pt idx="34">
                  <c:v>12.2982204445282</c:v>
                </c:pt>
                <c:pt idx="35">
                  <c:v>11.24254472532397</c:v>
                </c:pt>
                <c:pt idx="36">
                  <c:v>11.519344460525044</c:v>
                </c:pt>
                <c:pt idx="37">
                  <c:v>12.791219118371064</c:v>
                </c:pt>
                <c:pt idx="38">
                  <c:v>12.514228118178037</c:v>
                </c:pt>
                <c:pt idx="39">
                  <c:v>13.125935222752243</c:v>
                </c:pt>
                <c:pt idx="40">
                  <c:v>12.461291763994264</c:v>
                </c:pt>
                <c:pt idx="41">
                  <c:v>12.90210788889968</c:v>
                </c:pt>
                <c:pt idx="42">
                  <c:v>11.881020630189884</c:v>
                </c:pt>
                <c:pt idx="43">
                  <c:v>11.545882550464155</c:v>
                </c:pt>
                <c:pt idx="44">
                  <c:v>12.761895949735445</c:v>
                </c:pt>
                <c:pt idx="45">
                  <c:v>12.923364923755361</c:v>
                </c:pt>
                <c:pt idx="46">
                  <c:v>13.000595114838205</c:v>
                </c:pt>
                <c:pt idx="47">
                  <c:v>13.030386808710347</c:v>
                </c:pt>
                <c:pt idx="48">
                  <c:v>13.385855647136685</c:v>
                </c:pt>
                <c:pt idx="49">
                  <c:v>13.454435293186728</c:v>
                </c:pt>
              </c:numCache>
            </c:numRef>
          </c:xVal>
          <c:yVal>
            <c:numRef>
              <c:f>'1.2xtotalRun'!$E$4:$E$53</c:f>
              <c:numCache>
                <c:formatCode>#,##0</c:formatCode>
                <c:ptCount val="50"/>
                <c:pt idx="0">
                  <c:v>1426968</c:v>
                </c:pt>
                <c:pt idx="1">
                  <c:v>704978</c:v>
                </c:pt>
                <c:pt idx="2">
                  <c:v>848112</c:v>
                </c:pt>
                <c:pt idx="3">
                  <c:v>1278538</c:v>
                </c:pt>
                <c:pt idx="4">
                  <c:v>1491682</c:v>
                </c:pt>
                <c:pt idx="5">
                  <c:v>1250648</c:v>
                </c:pt>
                <c:pt idx="6">
                  <c:v>1168448</c:v>
                </c:pt>
                <c:pt idx="7">
                  <c:v>794980</c:v>
                </c:pt>
                <c:pt idx="8">
                  <c:v>843680</c:v>
                </c:pt>
                <c:pt idx="9">
                  <c:v>523359</c:v>
                </c:pt>
                <c:pt idx="10">
                  <c:v>1137425</c:v>
                </c:pt>
                <c:pt idx="11">
                  <c:v>1001564.2775033638</c:v>
                </c:pt>
                <c:pt idx="12">
                  <c:v>510878.70547443983</c:v>
                </c:pt>
                <c:pt idx="13">
                  <c:v>621659.1474358975</c:v>
                </c:pt>
                <c:pt idx="14">
                  <c:v>660391.6797237664</c:v>
                </c:pt>
                <c:pt idx="15">
                  <c:v>1322493.0318549268</c:v>
                </c:pt>
                <c:pt idx="16">
                  <c:v>1895557.1797603075</c:v>
                </c:pt>
                <c:pt idx="17">
                  <c:v>1428586.8681101864</c:v>
                </c:pt>
                <c:pt idx="18">
                  <c:v>1811514.7361524117</c:v>
                </c:pt>
                <c:pt idx="19">
                  <c:v>1604322.2163551403</c:v>
                </c:pt>
                <c:pt idx="20">
                  <c:v>1332560.0055745668</c:v>
                </c:pt>
                <c:pt idx="21">
                  <c:v>1718263.9938925835</c:v>
                </c:pt>
                <c:pt idx="22">
                  <c:v>1042871.9759558276</c:v>
                </c:pt>
                <c:pt idx="23">
                  <c:v>1509011.378424929</c:v>
                </c:pt>
                <c:pt idx="24">
                  <c:v>1495101.0198381976</c:v>
                </c:pt>
                <c:pt idx="25">
                  <c:v>1788048.9220859462</c:v>
                </c:pt>
                <c:pt idx="26">
                  <c:v>1569573.0405643724</c:v>
                </c:pt>
                <c:pt idx="27">
                  <c:v>2040314.1080709202</c:v>
                </c:pt>
                <c:pt idx="28">
                  <c:v>1838664.2833961954</c:v>
                </c:pt>
                <c:pt idx="29">
                  <c:v>1776292.4214672782</c:v>
                </c:pt>
                <c:pt idx="30">
                  <c:v>2861367.3295118865</c:v>
                </c:pt>
                <c:pt idx="31">
                  <c:v>3827961.7069207383</c:v>
                </c:pt>
                <c:pt idx="32">
                  <c:v>1644261.7972266297</c:v>
                </c:pt>
                <c:pt idx="33">
                  <c:v>1681595</c:v>
                </c:pt>
                <c:pt idx="34">
                  <c:v>1200684</c:v>
                </c:pt>
                <c:pt idx="35">
                  <c:v>2004403</c:v>
                </c:pt>
                <c:pt idx="36">
                  <c:v>1777856.5</c:v>
                </c:pt>
                <c:pt idx="37">
                  <c:v>1805186.5</c:v>
                </c:pt>
                <c:pt idx="38">
                  <c:v>1756052.7574119794</c:v>
                </c:pt>
                <c:pt idx="39">
                  <c:v>2070778.300560507</c:v>
                </c:pt>
                <c:pt idx="40">
                  <c:v>2242510</c:v>
                </c:pt>
                <c:pt idx="41">
                  <c:v>2823143</c:v>
                </c:pt>
                <c:pt idx="42">
                  <c:v>1056178</c:v>
                </c:pt>
                <c:pt idx="43">
                  <c:v>1589565</c:v>
                </c:pt>
                <c:pt idx="44">
                  <c:v>1270893</c:v>
                </c:pt>
                <c:pt idx="45">
                  <c:v>2539103</c:v>
                </c:pt>
                <c:pt idx="46">
                  <c:v>2810319.845475113</c:v>
                </c:pt>
                <c:pt idx="47">
                  <c:v>2539812</c:v>
                </c:pt>
                <c:pt idx="48">
                  <c:v>2847508.076601326</c:v>
                </c:pt>
                <c:pt idx="49">
                  <c:v>2746398.292268862</c:v>
                </c:pt>
              </c:numCache>
            </c:numRef>
          </c:yVal>
          <c:smooth val="0"/>
        </c:ser>
        <c:dLbls>
          <c:showLegendKey val="0"/>
          <c:showVal val="0"/>
          <c:showCatName val="0"/>
          <c:showSerName val="0"/>
          <c:showPercent val="0"/>
          <c:showBubbleSize val="0"/>
        </c:dLbls>
        <c:axId val="355424512"/>
        <c:axId val="355430400"/>
      </c:scatterChart>
      <c:valAx>
        <c:axId val="355424512"/>
        <c:scaling>
          <c:orientation val="minMax"/>
          <c:min val="10"/>
        </c:scaling>
        <c:delete val="0"/>
        <c:axPos val="b"/>
        <c:numFmt formatCode="#,##0.000_);\(#,##0.000\)" sourceLinked="1"/>
        <c:majorTickMark val="out"/>
        <c:minorTickMark val="none"/>
        <c:tickLblPos val="nextTo"/>
        <c:crossAx val="355430400"/>
        <c:crosses val="autoZero"/>
        <c:crossBetween val="midCat"/>
      </c:valAx>
      <c:valAx>
        <c:axId val="355430400"/>
        <c:scaling>
          <c:orientation val="minMax"/>
        </c:scaling>
        <c:delete val="0"/>
        <c:axPos val="l"/>
        <c:numFmt formatCode="#,##0" sourceLinked="1"/>
        <c:majorTickMark val="out"/>
        <c:minorTickMark val="none"/>
        <c:tickLblPos val="nextTo"/>
        <c:crossAx val="355424512"/>
        <c:crosses val="autoZero"/>
        <c:crossBetween val="midCat"/>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000000"/>
                </a:solidFill>
                <a:latin typeface="Arial"/>
                <a:ea typeface="Arial"/>
                <a:cs typeface="Arial"/>
              </a:defRPr>
            </a:pPr>
            <a:r>
              <a:rPr lang="en-US"/>
              <a:t>LN (0.3) FROM LN (1.1)</a:t>
            </a:r>
          </a:p>
        </c:rich>
      </c:tx>
      <c:layout>
        <c:manualLayout>
          <c:xMode val="edge"/>
          <c:yMode val="edge"/>
          <c:x val="0.34261565565631974"/>
          <c:y val="3.7837914664999549E-2"/>
        </c:manualLayout>
      </c:layout>
      <c:overlay val="0"/>
      <c:spPr>
        <a:solidFill>
          <a:srgbClr val="FFFFFF"/>
        </a:solidFill>
        <a:ln w="25400">
          <a:noFill/>
        </a:ln>
      </c:spPr>
    </c:title>
    <c:autoTitleDeleted val="0"/>
    <c:plotArea>
      <c:layout>
        <c:manualLayout>
          <c:layoutTarget val="inner"/>
          <c:xMode val="edge"/>
          <c:yMode val="edge"/>
          <c:x val="7.8251728176033361E-2"/>
          <c:y val="0.11171171171171172"/>
          <c:w val="0.89355013930740756"/>
          <c:h val="0.70990990990990988"/>
        </c:manualLayout>
      </c:layout>
      <c:scatterChart>
        <c:scatterStyle val="lineMarker"/>
        <c:varyColors val="0"/>
        <c:ser>
          <c:idx val="1"/>
          <c:order val="0"/>
          <c:tx>
            <c:v>Lower</c:v>
          </c:tx>
          <c:spPr>
            <a:ln w="12700">
              <a:solidFill>
                <a:srgbClr val="0000FF"/>
              </a:solidFill>
              <a:prstDash val="solid"/>
            </a:ln>
          </c:spPr>
          <c:marker>
            <c:symbol val="none"/>
          </c:marker>
          <c:dPt>
            <c:idx val="43"/>
            <c:bubble3D val="0"/>
            <c:spPr>
              <a:ln w="28575">
                <a:noFill/>
              </a:ln>
            </c:spPr>
          </c:dPt>
          <c:xVal>
            <c:numRef>
              <c:f>ln03xln11!$Z$13:$Z$63</c:f>
              <c:numCache>
                <c:formatCode>General</c:formatCode>
                <c:ptCount val="51"/>
                <c:pt idx="0">
                  <c:v>9.5821363703707938</c:v>
                </c:pt>
                <c:pt idx="1">
                  <c:v>9.4645231159839032</c:v>
                </c:pt>
                <c:pt idx="2">
                  <c:v>6.0609833927814609</c:v>
                </c:pt>
                <c:pt idx="3">
                  <c:v>7.3798360922232167</c:v>
                </c:pt>
                <c:pt idx="4">
                  <c:v>4.2036292731298142</c:v>
                </c:pt>
                <c:pt idx="5">
                  <c:v>7.4317194294202729</c:v>
                </c:pt>
                <c:pt idx="6">
                  <c:v>7.6639367951832256</c:v>
                </c:pt>
                <c:pt idx="7">
                  <c:v>7.6027317587172334</c:v>
                </c:pt>
                <c:pt idx="8">
                  <c:v>10.094320373460834</c:v>
                </c:pt>
                <c:pt idx="9">
                  <c:v>7.183103439062938</c:v>
                </c:pt>
                <c:pt idx="10">
                  <c:v>6.9567747344682118</c:v>
                </c:pt>
                <c:pt idx="11">
                  <c:v>7.3308201925797913</c:v>
                </c:pt>
                <c:pt idx="12">
                  <c:v>8.9295922381264159</c:v>
                </c:pt>
                <c:pt idx="13">
                  <c:v>6.8938697503515991</c:v>
                </c:pt>
                <c:pt idx="14">
                  <c:v>8.3645249297946567</c:v>
                </c:pt>
                <c:pt idx="15">
                  <c:v>8.586839002480172</c:v>
                </c:pt>
                <c:pt idx="16">
                  <c:v>11.283954198754358</c:v>
                </c:pt>
                <c:pt idx="17">
                  <c:v>9.7332633270381361</c:v>
                </c:pt>
                <c:pt idx="18">
                  <c:v>10.155779660590518</c:v>
                </c:pt>
                <c:pt idx="19">
                  <c:v>8.4721977115721039</c:v>
                </c:pt>
                <c:pt idx="20">
                  <c:v>10.345240318270431</c:v>
                </c:pt>
                <c:pt idx="21">
                  <c:v>9.8478179976135216</c:v>
                </c:pt>
                <c:pt idx="22">
                  <c:v>9.6834574148761732</c:v>
                </c:pt>
                <c:pt idx="23">
                  <c:v>10.513712327196895</c:v>
                </c:pt>
                <c:pt idx="24">
                  <c:v>9.0379152018843385</c:v>
                </c:pt>
                <c:pt idx="25">
                  <c:v>11.274736584128879</c:v>
                </c:pt>
                <c:pt idx="26">
                  <c:v>9.8249464850406518</c:v>
                </c:pt>
                <c:pt idx="27">
                  <c:v>10.15702482649354</c:v>
                </c:pt>
                <c:pt idx="28">
                  <c:v>10.940255662011179</c:v>
                </c:pt>
                <c:pt idx="29">
                  <c:v>10.970081997673907</c:v>
                </c:pt>
                <c:pt idx="30">
                  <c:v>10.39143784195393</c:v>
                </c:pt>
                <c:pt idx="31">
                  <c:v>9.7087147148805393</c:v>
                </c:pt>
                <c:pt idx="32">
                  <c:v>11.904776138540297</c:v>
                </c:pt>
                <c:pt idx="33">
                  <c:v>10.307167724513286</c:v>
                </c:pt>
                <c:pt idx="34">
                  <c:v>9.4491825260610103</c:v>
                </c:pt>
                <c:pt idx="35">
                  <c:v>9.0215762013225334</c:v>
                </c:pt>
                <c:pt idx="36">
                  <c:v>9.5921190125256324</c:v>
                </c:pt>
                <c:pt idx="37">
                  <c:v>8.9332970094275055</c:v>
                </c:pt>
                <c:pt idx="38">
                  <c:v>9.6642080418653293</c:v>
                </c:pt>
                <c:pt idx="39">
                  <c:v>8.8309871049856525</c:v>
                </c:pt>
                <c:pt idx="40">
                  <c:v>8.7144924910752639</c:v>
                </c:pt>
                <c:pt idx="41">
                  <c:v>8.5588084665941651</c:v>
                </c:pt>
                <c:pt idx="42">
                  <c:v>10.097964899274954</c:v>
                </c:pt>
                <c:pt idx="43">
                  <c:v>7.8876004921868139</c:v>
                </c:pt>
                <c:pt idx="44">
                  <c:v>7.408557997551882</c:v>
                </c:pt>
                <c:pt idx="45">
                  <c:v>8.8710681588590035</c:v>
                </c:pt>
                <c:pt idx="46">
                  <c:v>7.1740783512018949</c:v>
                </c:pt>
                <c:pt idx="47">
                  <c:v>7.9677926218453861</c:v>
                </c:pt>
                <c:pt idx="48">
                  <c:v>7.4025896323361646</c:v>
                </c:pt>
                <c:pt idx="50" formatCode="0.0000_)">
                  <c:v>7.4025896323361646</c:v>
                </c:pt>
              </c:numCache>
            </c:numRef>
          </c:xVal>
          <c:yVal>
            <c:numRef>
              <c:f>ln03xln11!$AD$13:$AD$61</c:f>
              <c:numCache>
                <c:formatCode>General</c:formatCode>
                <c:ptCount val="49"/>
                <c:pt idx="0">
                  <c:v>9.2832712706404585</c:v>
                </c:pt>
                <c:pt idx="1">
                  <c:v>9.218160679123141</c:v>
                </c:pt>
                <c:pt idx="2">
                  <c:v>7.3339641590487998</c:v>
                </c:pt>
                <c:pt idx="3">
                  <c:v>8.0640798235842652</c:v>
                </c:pt>
                <c:pt idx="4">
                  <c:v>6.305734594123809</c:v>
                </c:pt>
                <c:pt idx="5">
                  <c:v>8.092802392247151</c:v>
                </c:pt>
                <c:pt idx="6">
                  <c:v>8.2213577164258567</c:v>
                </c:pt>
                <c:pt idx="7">
                  <c:v>8.1874746634577704</c:v>
                </c:pt>
                <c:pt idx="8">
                  <c:v>9.5668158726561394</c:v>
                </c:pt>
                <c:pt idx="9">
                  <c:v>7.9551688042879176</c:v>
                </c:pt>
                <c:pt idx="10">
                  <c:v>7.8298734376191659</c:v>
                </c:pt>
                <c:pt idx="11">
                  <c:v>8.0369446657640573</c:v>
                </c:pt>
                <c:pt idx="12">
                  <c:v>8.9220234277585462</c:v>
                </c:pt>
                <c:pt idx="13">
                  <c:v>7.7950492951653994</c:v>
                </c:pt>
                <c:pt idx="14">
                  <c:v>8.6092026756726305</c:v>
                </c:pt>
                <c:pt idx="15">
                  <c:v>8.7322755457384638</c:v>
                </c:pt>
                <c:pt idx="16">
                  <c:v>10.225396085045059</c:v>
                </c:pt>
                <c:pt idx="17">
                  <c:v>9.3669350175040051</c:v>
                </c:pt>
                <c:pt idx="18">
                  <c:v>9.6008396785622594</c:v>
                </c:pt>
                <c:pt idx="19">
                  <c:v>8.6688102305217036</c:v>
                </c:pt>
                <c:pt idx="20">
                  <c:v>9.705724927721505</c:v>
                </c:pt>
                <c:pt idx="21">
                  <c:v>9.4303523797827431</c:v>
                </c:pt>
                <c:pt idx="22">
                  <c:v>9.3393625094662838</c:v>
                </c:pt>
                <c:pt idx="23">
                  <c:v>9.7989908798669099</c:v>
                </c:pt>
                <c:pt idx="24">
                  <c:v>8.9819909227654122</c:v>
                </c:pt>
                <c:pt idx="25">
                  <c:v>10.220293221904573</c:v>
                </c:pt>
                <c:pt idx="26">
                  <c:v>9.4176907310571956</c:v>
                </c:pt>
                <c:pt idx="27">
                  <c:v>9.6015290012827741</c:v>
                </c:pt>
                <c:pt idx="28">
                  <c:v>10.035124885190569</c:v>
                </c:pt>
                <c:pt idx="29">
                  <c:v>10.051636717703989</c:v>
                </c:pt>
                <c:pt idx="30">
                  <c:v>9.731299835153056</c:v>
                </c:pt>
                <c:pt idx="31">
                  <c:v>9.3533449279614409</c:v>
                </c:pt>
                <c:pt idx="32">
                  <c:v>10.569082550801902</c:v>
                </c:pt>
                <c:pt idx="33">
                  <c:v>9.6846479741668361</c:v>
                </c:pt>
                <c:pt idx="34">
                  <c:v>9.2096681423821849</c:v>
                </c:pt>
                <c:pt idx="35">
                  <c:v>8.9729456667955247</c:v>
                </c:pt>
                <c:pt idx="36">
                  <c:v>9.2887976523309881</c:v>
                </c:pt>
                <c:pt idx="37">
                  <c:v>8.924074385808364</c:v>
                </c:pt>
                <c:pt idx="38">
                  <c:v>9.328706073934363</c:v>
                </c:pt>
                <c:pt idx="39">
                  <c:v>8.8674357150138619</c:v>
                </c:pt>
                <c:pt idx="40">
                  <c:v>8.8029444018550933</c:v>
                </c:pt>
                <c:pt idx="41">
                  <c:v>8.7167578663612595</c:v>
                </c:pt>
                <c:pt idx="42">
                  <c:v>9.5688334788587284</c:v>
                </c:pt>
                <c:pt idx="43">
                  <c:v>8.3451777372965381</c:v>
                </c:pt>
                <c:pt idx="44">
                  <c:v>8.0799802444611686</c:v>
                </c:pt>
                <c:pt idx="45">
                  <c:v>8.889624550276821</c:v>
                </c:pt>
                <c:pt idx="46">
                  <c:v>7.9501725237905232</c:v>
                </c:pt>
                <c:pt idx="47">
                  <c:v>8.3895720279257837</c:v>
                </c:pt>
                <c:pt idx="48">
                  <c:v>8.0766761628624373</c:v>
                </c:pt>
              </c:numCache>
            </c:numRef>
          </c:yVal>
          <c:smooth val="0"/>
        </c:ser>
        <c:ser>
          <c:idx val="3"/>
          <c:order val="1"/>
          <c:tx>
            <c:v>Forecast</c:v>
          </c:tx>
          <c:spPr>
            <a:ln w="12700">
              <a:solidFill>
                <a:srgbClr val="FF00FF"/>
              </a:solidFill>
              <a:prstDash val="solid"/>
            </a:ln>
          </c:spPr>
          <c:marker>
            <c:symbol val="square"/>
            <c:size val="10"/>
            <c:spPr>
              <a:solidFill>
                <a:srgbClr val="FF00FF"/>
              </a:solidFill>
              <a:ln>
                <a:solidFill>
                  <a:srgbClr val="000000"/>
                </a:solidFill>
                <a:prstDash val="solid"/>
              </a:ln>
            </c:spPr>
          </c:marker>
          <c:xVal>
            <c:numRef>
              <c:f>ln03xln11!$Z$13:$Z$63</c:f>
              <c:numCache>
                <c:formatCode>General</c:formatCode>
                <c:ptCount val="51"/>
                <c:pt idx="0">
                  <c:v>9.5821363703707938</c:v>
                </c:pt>
                <c:pt idx="1">
                  <c:v>9.4645231159839032</c:v>
                </c:pt>
                <c:pt idx="2">
                  <c:v>6.0609833927814609</c:v>
                </c:pt>
                <c:pt idx="3">
                  <c:v>7.3798360922232167</c:v>
                </c:pt>
                <c:pt idx="4">
                  <c:v>4.2036292731298142</c:v>
                </c:pt>
                <c:pt idx="5">
                  <c:v>7.4317194294202729</c:v>
                </c:pt>
                <c:pt idx="6">
                  <c:v>7.6639367951832256</c:v>
                </c:pt>
                <c:pt idx="7">
                  <c:v>7.6027317587172334</c:v>
                </c:pt>
                <c:pt idx="8">
                  <c:v>10.094320373460834</c:v>
                </c:pt>
                <c:pt idx="9">
                  <c:v>7.183103439062938</c:v>
                </c:pt>
                <c:pt idx="10">
                  <c:v>6.9567747344682118</c:v>
                </c:pt>
                <c:pt idx="11">
                  <c:v>7.3308201925797913</c:v>
                </c:pt>
                <c:pt idx="12">
                  <c:v>8.9295922381264159</c:v>
                </c:pt>
                <c:pt idx="13">
                  <c:v>6.8938697503515991</c:v>
                </c:pt>
                <c:pt idx="14">
                  <c:v>8.3645249297946567</c:v>
                </c:pt>
                <c:pt idx="15">
                  <c:v>8.586839002480172</c:v>
                </c:pt>
                <c:pt idx="16">
                  <c:v>11.283954198754358</c:v>
                </c:pt>
                <c:pt idx="17">
                  <c:v>9.7332633270381361</c:v>
                </c:pt>
                <c:pt idx="18">
                  <c:v>10.155779660590518</c:v>
                </c:pt>
                <c:pt idx="19">
                  <c:v>8.4721977115721039</c:v>
                </c:pt>
                <c:pt idx="20">
                  <c:v>10.345240318270431</c:v>
                </c:pt>
                <c:pt idx="21">
                  <c:v>9.8478179976135216</c:v>
                </c:pt>
                <c:pt idx="22">
                  <c:v>9.6834574148761732</c:v>
                </c:pt>
                <c:pt idx="23">
                  <c:v>10.513712327196895</c:v>
                </c:pt>
                <c:pt idx="24">
                  <c:v>9.0379152018843385</c:v>
                </c:pt>
                <c:pt idx="25">
                  <c:v>11.274736584128879</c:v>
                </c:pt>
                <c:pt idx="26">
                  <c:v>9.8249464850406518</c:v>
                </c:pt>
                <c:pt idx="27">
                  <c:v>10.15702482649354</c:v>
                </c:pt>
                <c:pt idx="28">
                  <c:v>10.940255662011179</c:v>
                </c:pt>
                <c:pt idx="29">
                  <c:v>10.970081997673907</c:v>
                </c:pt>
                <c:pt idx="30">
                  <c:v>10.39143784195393</c:v>
                </c:pt>
                <c:pt idx="31">
                  <c:v>9.7087147148805393</c:v>
                </c:pt>
                <c:pt idx="32">
                  <c:v>11.904776138540297</c:v>
                </c:pt>
                <c:pt idx="33">
                  <c:v>10.307167724513286</c:v>
                </c:pt>
                <c:pt idx="34">
                  <c:v>9.4491825260610103</c:v>
                </c:pt>
                <c:pt idx="35">
                  <c:v>9.0215762013225334</c:v>
                </c:pt>
                <c:pt idx="36">
                  <c:v>9.5921190125256324</c:v>
                </c:pt>
                <c:pt idx="37">
                  <c:v>8.9332970094275055</c:v>
                </c:pt>
                <c:pt idx="38">
                  <c:v>9.6642080418653293</c:v>
                </c:pt>
                <c:pt idx="39">
                  <c:v>8.8309871049856525</c:v>
                </c:pt>
                <c:pt idx="40">
                  <c:v>8.7144924910752639</c:v>
                </c:pt>
                <c:pt idx="41">
                  <c:v>8.5588084665941651</c:v>
                </c:pt>
                <c:pt idx="42">
                  <c:v>10.097964899274954</c:v>
                </c:pt>
                <c:pt idx="43">
                  <c:v>7.8876004921868139</c:v>
                </c:pt>
                <c:pt idx="44">
                  <c:v>7.408557997551882</c:v>
                </c:pt>
                <c:pt idx="45">
                  <c:v>8.8710681588590035</c:v>
                </c:pt>
                <c:pt idx="46">
                  <c:v>7.1740783512018949</c:v>
                </c:pt>
                <c:pt idx="47">
                  <c:v>7.9677926218453861</c:v>
                </c:pt>
                <c:pt idx="48">
                  <c:v>7.4025896323361646</c:v>
                </c:pt>
                <c:pt idx="50" formatCode="0.0000_)">
                  <c:v>7.4025896323361646</c:v>
                </c:pt>
              </c:numCache>
            </c:numRef>
          </c:xVal>
          <c:yVal>
            <c:numRef>
              <c:f>ln03xln11!$AF$13:$AF$63</c:f>
              <c:numCache>
                <c:formatCode>General</c:formatCode>
                <c:ptCount val="51"/>
                <c:pt idx="50" formatCode="0.0000_)">
                  <c:v>9.7234609111997656</c:v>
                </c:pt>
              </c:numCache>
            </c:numRef>
          </c:yVal>
          <c:smooth val="0"/>
        </c:ser>
        <c:ser>
          <c:idx val="2"/>
          <c:order val="2"/>
          <c:tx>
            <c:v>Upper</c:v>
          </c:tx>
          <c:spPr>
            <a:ln w="12700">
              <a:solidFill>
                <a:srgbClr val="0000FF"/>
              </a:solidFill>
              <a:prstDash val="solid"/>
            </a:ln>
          </c:spPr>
          <c:marker>
            <c:symbol val="none"/>
          </c:marker>
          <c:xVal>
            <c:numRef>
              <c:f>ln03xln11!$Z$13:$Z$61</c:f>
              <c:numCache>
                <c:formatCode>General</c:formatCode>
                <c:ptCount val="49"/>
                <c:pt idx="0">
                  <c:v>9.5821363703707938</c:v>
                </c:pt>
                <c:pt idx="1">
                  <c:v>9.4645231159839032</c:v>
                </c:pt>
                <c:pt idx="2">
                  <c:v>6.0609833927814609</c:v>
                </c:pt>
                <c:pt idx="3">
                  <c:v>7.3798360922232167</c:v>
                </c:pt>
                <c:pt idx="4">
                  <c:v>4.2036292731298142</c:v>
                </c:pt>
                <c:pt idx="5">
                  <c:v>7.4317194294202729</c:v>
                </c:pt>
                <c:pt idx="6">
                  <c:v>7.6639367951832256</c:v>
                </c:pt>
                <c:pt idx="7">
                  <c:v>7.6027317587172334</c:v>
                </c:pt>
                <c:pt idx="8">
                  <c:v>10.094320373460834</c:v>
                </c:pt>
                <c:pt idx="9">
                  <c:v>7.183103439062938</c:v>
                </c:pt>
                <c:pt idx="10">
                  <c:v>6.9567747344682118</c:v>
                </c:pt>
                <c:pt idx="11">
                  <c:v>7.3308201925797913</c:v>
                </c:pt>
                <c:pt idx="12">
                  <c:v>8.9295922381264159</c:v>
                </c:pt>
                <c:pt idx="13">
                  <c:v>6.8938697503515991</c:v>
                </c:pt>
                <c:pt idx="14">
                  <c:v>8.3645249297946567</c:v>
                </c:pt>
                <c:pt idx="15">
                  <c:v>8.586839002480172</c:v>
                </c:pt>
                <c:pt idx="16">
                  <c:v>11.283954198754358</c:v>
                </c:pt>
                <c:pt idx="17">
                  <c:v>9.7332633270381361</c:v>
                </c:pt>
                <c:pt idx="18">
                  <c:v>10.155779660590518</c:v>
                </c:pt>
                <c:pt idx="19">
                  <c:v>8.4721977115721039</c:v>
                </c:pt>
                <c:pt idx="20">
                  <c:v>10.345240318270431</c:v>
                </c:pt>
                <c:pt idx="21">
                  <c:v>9.8478179976135216</c:v>
                </c:pt>
                <c:pt idx="22">
                  <c:v>9.6834574148761732</c:v>
                </c:pt>
                <c:pt idx="23">
                  <c:v>10.513712327196895</c:v>
                </c:pt>
                <c:pt idx="24">
                  <c:v>9.0379152018843385</c:v>
                </c:pt>
                <c:pt idx="25">
                  <c:v>11.274736584128879</c:v>
                </c:pt>
                <c:pt idx="26">
                  <c:v>9.8249464850406518</c:v>
                </c:pt>
                <c:pt idx="27">
                  <c:v>10.15702482649354</c:v>
                </c:pt>
                <c:pt idx="28">
                  <c:v>10.940255662011179</c:v>
                </c:pt>
                <c:pt idx="29">
                  <c:v>10.970081997673907</c:v>
                </c:pt>
                <c:pt idx="30">
                  <c:v>10.39143784195393</c:v>
                </c:pt>
                <c:pt idx="31">
                  <c:v>9.7087147148805393</c:v>
                </c:pt>
                <c:pt idx="32">
                  <c:v>11.904776138540297</c:v>
                </c:pt>
                <c:pt idx="33">
                  <c:v>10.307167724513286</c:v>
                </c:pt>
                <c:pt idx="34">
                  <c:v>9.4491825260610103</c:v>
                </c:pt>
                <c:pt idx="35">
                  <c:v>9.0215762013225334</c:v>
                </c:pt>
                <c:pt idx="36">
                  <c:v>9.5921190125256324</c:v>
                </c:pt>
                <c:pt idx="37">
                  <c:v>8.9332970094275055</c:v>
                </c:pt>
                <c:pt idx="38">
                  <c:v>9.6642080418653293</c:v>
                </c:pt>
                <c:pt idx="39">
                  <c:v>8.8309871049856525</c:v>
                </c:pt>
                <c:pt idx="40">
                  <c:v>8.7144924910752639</c:v>
                </c:pt>
                <c:pt idx="41">
                  <c:v>8.5588084665941651</c:v>
                </c:pt>
                <c:pt idx="42">
                  <c:v>10.097964899274954</c:v>
                </c:pt>
                <c:pt idx="43">
                  <c:v>7.8876004921868139</c:v>
                </c:pt>
                <c:pt idx="44">
                  <c:v>7.408557997551882</c:v>
                </c:pt>
                <c:pt idx="45">
                  <c:v>8.8710681588590035</c:v>
                </c:pt>
                <c:pt idx="46">
                  <c:v>7.1740783512018949</c:v>
                </c:pt>
                <c:pt idx="47">
                  <c:v>7.9677926218453861</c:v>
                </c:pt>
                <c:pt idx="48">
                  <c:v>7.4025896323361646</c:v>
                </c:pt>
              </c:numCache>
            </c:numRef>
          </c:xVal>
          <c:yVal>
            <c:numRef>
              <c:f>ln03xln11!$AE$13:$AE$61</c:f>
              <c:numCache>
                <c:formatCode>General</c:formatCode>
                <c:ptCount val="49"/>
                <c:pt idx="0">
                  <c:v>12.576840767315115</c:v>
                </c:pt>
                <c:pt idx="1">
                  <c:v>12.511730175797798</c:v>
                </c:pt>
                <c:pt idx="2">
                  <c:v>10.627533655723457</c:v>
                </c:pt>
                <c:pt idx="3">
                  <c:v>11.357649320258925</c:v>
                </c:pt>
                <c:pt idx="4">
                  <c:v>9.5993040907984675</c:v>
                </c:pt>
                <c:pt idx="5">
                  <c:v>11.386371888921808</c:v>
                </c:pt>
                <c:pt idx="6">
                  <c:v>11.514927213100513</c:v>
                </c:pt>
                <c:pt idx="7">
                  <c:v>11.481044160132427</c:v>
                </c:pt>
                <c:pt idx="8">
                  <c:v>12.860385369330796</c:v>
                </c:pt>
                <c:pt idx="9">
                  <c:v>11.248738300962575</c:v>
                </c:pt>
                <c:pt idx="10">
                  <c:v>11.123442934293823</c:v>
                </c:pt>
                <c:pt idx="11">
                  <c:v>11.330514162438714</c:v>
                </c:pt>
                <c:pt idx="12">
                  <c:v>12.215592924433203</c:v>
                </c:pt>
                <c:pt idx="13">
                  <c:v>11.088618791840059</c:v>
                </c:pt>
                <c:pt idx="14">
                  <c:v>11.902772172347287</c:v>
                </c:pt>
                <c:pt idx="15">
                  <c:v>12.025845042413124</c:v>
                </c:pt>
                <c:pt idx="16">
                  <c:v>13.518965581719716</c:v>
                </c:pt>
                <c:pt idx="17">
                  <c:v>12.660504514178662</c:v>
                </c:pt>
                <c:pt idx="18">
                  <c:v>12.894409175236916</c:v>
                </c:pt>
                <c:pt idx="19">
                  <c:v>11.96237972719636</c:v>
                </c:pt>
                <c:pt idx="20">
                  <c:v>12.999294424396165</c:v>
                </c:pt>
                <c:pt idx="21">
                  <c:v>12.7239218764574</c:v>
                </c:pt>
                <c:pt idx="22">
                  <c:v>12.63293200614094</c:v>
                </c:pt>
                <c:pt idx="23">
                  <c:v>13.092560376541567</c:v>
                </c:pt>
                <c:pt idx="24">
                  <c:v>12.275560419440069</c:v>
                </c:pt>
                <c:pt idx="25">
                  <c:v>13.513862718579229</c:v>
                </c:pt>
                <c:pt idx="26">
                  <c:v>12.711260227731852</c:v>
                </c:pt>
                <c:pt idx="27">
                  <c:v>12.895098497957434</c:v>
                </c:pt>
                <c:pt idx="28">
                  <c:v>13.328694381865226</c:v>
                </c:pt>
                <c:pt idx="29">
                  <c:v>13.345206214378646</c:v>
                </c:pt>
                <c:pt idx="30">
                  <c:v>13.024869331827713</c:v>
                </c:pt>
                <c:pt idx="31">
                  <c:v>12.646914424636098</c:v>
                </c:pt>
                <c:pt idx="32">
                  <c:v>13.862652047476558</c:v>
                </c:pt>
                <c:pt idx="33">
                  <c:v>12.978217470841493</c:v>
                </c:pt>
                <c:pt idx="34">
                  <c:v>12.503237639056842</c:v>
                </c:pt>
                <c:pt idx="35">
                  <c:v>12.266515163470181</c:v>
                </c:pt>
                <c:pt idx="36">
                  <c:v>12.582367149005645</c:v>
                </c:pt>
                <c:pt idx="37">
                  <c:v>12.217643882483024</c:v>
                </c:pt>
                <c:pt idx="38">
                  <c:v>12.62227557060902</c:v>
                </c:pt>
                <c:pt idx="39">
                  <c:v>12.161005211688519</c:v>
                </c:pt>
                <c:pt idx="40">
                  <c:v>12.09651389852975</c:v>
                </c:pt>
                <c:pt idx="41">
                  <c:v>12.01032736303592</c:v>
                </c:pt>
                <c:pt idx="42">
                  <c:v>12.862402975533385</c:v>
                </c:pt>
                <c:pt idx="43">
                  <c:v>11.638747233971195</c:v>
                </c:pt>
                <c:pt idx="44">
                  <c:v>11.373549741135829</c:v>
                </c:pt>
                <c:pt idx="45">
                  <c:v>12.183194046951481</c:v>
                </c:pt>
                <c:pt idx="46">
                  <c:v>11.243742020465181</c:v>
                </c:pt>
                <c:pt idx="47">
                  <c:v>11.68314152460044</c:v>
                </c:pt>
                <c:pt idx="48">
                  <c:v>11.370245659537094</c:v>
                </c:pt>
              </c:numCache>
            </c:numRef>
          </c:yVal>
          <c:smooth val="0"/>
        </c:ser>
        <c:ser>
          <c:idx val="0"/>
          <c:order val="3"/>
          <c:tx>
            <c:v>Actual</c:v>
          </c:tx>
          <c:spPr>
            <a:ln w="28575">
              <a:noFill/>
            </a:ln>
          </c:spPr>
          <c:marker>
            <c:symbol val="diamond"/>
            <c:size val="5"/>
            <c:spPr>
              <a:solidFill>
                <a:srgbClr val="000080"/>
              </a:solidFill>
              <a:ln>
                <a:solidFill>
                  <a:srgbClr val="000080"/>
                </a:solidFill>
                <a:prstDash val="solid"/>
              </a:ln>
            </c:spPr>
          </c:marker>
          <c:dLbls>
            <c:dLbl>
              <c:idx val="0"/>
              <c:tx>
                <c:strRef>
                  <c:f>ln03xln11!$AC$13</c:f>
                  <c:strCache>
                    <c:ptCount val="1"/>
                    <c:pt idx="0">
                      <c:v>66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1"/>
              <c:tx>
                <c:strRef>
                  <c:f>ln03xln11!$AC$14</c:f>
                  <c:strCache>
                    <c:ptCount val="1"/>
                    <c:pt idx="0">
                      <c:v>67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2"/>
              <c:tx>
                <c:strRef>
                  <c:f>ln03xln11!$AC$15</c:f>
                  <c:strCache>
                    <c:ptCount val="1"/>
                    <c:pt idx="0">
                      <c:v>68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3"/>
              <c:tx>
                <c:strRef>
                  <c:f>ln03xln11!$AC$16</c:f>
                  <c:strCache>
                    <c:ptCount val="1"/>
                    <c:pt idx="0">
                      <c:v>69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4"/>
              <c:tx>
                <c:strRef>
                  <c:f>ln03xln11!$AC$17</c:f>
                  <c:strCache>
                    <c:ptCount val="1"/>
                    <c:pt idx="0">
                      <c:v>70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5"/>
              <c:tx>
                <c:strRef>
                  <c:f>ln03xln11!$AC$18</c:f>
                  <c:strCache>
                    <c:ptCount val="1"/>
                    <c:pt idx="0">
                      <c:v>71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6"/>
              <c:tx>
                <c:strRef>
                  <c:f>ln03xln11!$AC$19</c:f>
                  <c:strCache>
                    <c:ptCount val="1"/>
                    <c:pt idx="0">
                      <c:v>72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7"/>
              <c:tx>
                <c:strRef>
                  <c:f>ln03xln11!$AC$20</c:f>
                  <c:strCache>
                    <c:ptCount val="1"/>
                    <c:pt idx="0">
                      <c:v>73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8"/>
              <c:tx>
                <c:strRef>
                  <c:f>ln03xln11!$AC$21</c:f>
                  <c:strCache>
                    <c:ptCount val="1"/>
                    <c:pt idx="0">
                      <c:v>74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9"/>
              <c:tx>
                <c:strRef>
                  <c:f>ln03xln11!$AC$22</c:f>
                  <c:strCache>
                    <c:ptCount val="1"/>
                    <c:pt idx="0">
                      <c:v>75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10"/>
              <c:tx>
                <c:strRef>
                  <c:f>ln03xln11!$AC$23</c:f>
                  <c:strCache>
                    <c:ptCount val="1"/>
                    <c:pt idx="0">
                      <c:v>76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11"/>
              <c:tx>
                <c:strRef>
                  <c:f>ln03xln11!$AC$24</c:f>
                  <c:strCache>
                    <c:ptCount val="1"/>
                    <c:pt idx="0">
                      <c:v>77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12"/>
              <c:tx>
                <c:strRef>
                  <c:f>ln03xln11!$AC$25</c:f>
                  <c:strCache>
                    <c:ptCount val="1"/>
                    <c:pt idx="0">
                      <c:v>78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13"/>
              <c:tx>
                <c:strRef>
                  <c:f>ln03xln11!$AC$26</c:f>
                  <c:strCache>
                    <c:ptCount val="1"/>
                    <c:pt idx="0">
                      <c:v>79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14"/>
              <c:tx>
                <c:strRef>
                  <c:f>ln03xln11!$AC$27</c:f>
                  <c:strCache>
                    <c:ptCount val="1"/>
                    <c:pt idx="0">
                      <c:v>80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15"/>
              <c:tx>
                <c:strRef>
                  <c:f>ln03xln11!$AC$28</c:f>
                  <c:strCache>
                    <c:ptCount val="1"/>
                    <c:pt idx="0">
                      <c:v>81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16"/>
              <c:tx>
                <c:strRef>
                  <c:f>ln03xln11!$AC$29</c:f>
                  <c:strCache>
                    <c:ptCount val="1"/>
                    <c:pt idx="0">
                      <c:v>82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17"/>
              <c:tx>
                <c:strRef>
                  <c:f>ln03xln11!$AC$30</c:f>
                  <c:strCache>
                    <c:ptCount val="1"/>
                    <c:pt idx="0">
                      <c:v>83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18"/>
              <c:tx>
                <c:strRef>
                  <c:f>ln03xln11!$AC$31</c:f>
                  <c:strCache>
                    <c:ptCount val="1"/>
                    <c:pt idx="0">
                      <c:v>84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19"/>
              <c:tx>
                <c:strRef>
                  <c:f>ln03xln11!$AC$32</c:f>
                  <c:strCache>
                    <c:ptCount val="1"/>
                    <c:pt idx="0">
                      <c:v>85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20"/>
              <c:tx>
                <c:strRef>
                  <c:f>ln03xln11!$AC$33</c:f>
                  <c:strCache>
                    <c:ptCount val="1"/>
                    <c:pt idx="0">
                      <c:v>86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21"/>
              <c:tx>
                <c:strRef>
                  <c:f>ln03xln11!$AC$34</c:f>
                  <c:strCache>
                    <c:ptCount val="1"/>
                    <c:pt idx="0">
                      <c:v>87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22"/>
              <c:tx>
                <c:strRef>
                  <c:f>ln03xln11!$AC$35</c:f>
                  <c:strCache>
                    <c:ptCount val="1"/>
                    <c:pt idx="0">
                      <c:v>88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23"/>
              <c:tx>
                <c:strRef>
                  <c:f>ln03xln11!$AC$36</c:f>
                  <c:strCache>
                    <c:ptCount val="1"/>
                    <c:pt idx="0">
                      <c:v>89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24"/>
              <c:tx>
                <c:strRef>
                  <c:f>ln03xln11!$AC$37</c:f>
                  <c:strCache>
                    <c:ptCount val="1"/>
                    <c:pt idx="0">
                      <c:v>90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25"/>
              <c:tx>
                <c:strRef>
                  <c:f>ln03xln11!$AC$38</c:f>
                  <c:strCache>
                    <c:ptCount val="1"/>
                    <c:pt idx="0">
                      <c:v>91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26"/>
              <c:tx>
                <c:strRef>
                  <c:f>ln03xln11!$AC$39</c:f>
                  <c:strCache>
                    <c:ptCount val="1"/>
                    <c:pt idx="0">
                      <c:v>92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27"/>
              <c:tx>
                <c:strRef>
                  <c:f>ln03xln11!$AC$40</c:f>
                  <c:strCache>
                    <c:ptCount val="1"/>
                    <c:pt idx="0">
                      <c:v>93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28"/>
              <c:tx>
                <c:strRef>
                  <c:f>ln03xln11!$AC$41</c:f>
                  <c:strCache>
                    <c:ptCount val="1"/>
                    <c:pt idx="0">
                      <c:v>94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29"/>
              <c:tx>
                <c:strRef>
                  <c:f>ln03xln11!$AC$42</c:f>
                  <c:strCache>
                    <c:ptCount val="1"/>
                    <c:pt idx="0">
                      <c:v>95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30"/>
              <c:tx>
                <c:strRef>
                  <c:f>ln03xln11!$AC$43</c:f>
                  <c:strCache>
                    <c:ptCount val="1"/>
                    <c:pt idx="0">
                      <c:v>96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31"/>
              <c:tx>
                <c:strRef>
                  <c:f>ln03xln11!$AC$44</c:f>
                  <c:strCache>
                    <c:ptCount val="1"/>
                    <c:pt idx="0">
                      <c:v>97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32"/>
              <c:tx>
                <c:strRef>
                  <c:f>ln03xln11!$AC$45</c:f>
                  <c:strCache>
                    <c:ptCount val="1"/>
                    <c:pt idx="0">
                      <c:v>98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33"/>
              <c:tx>
                <c:strRef>
                  <c:f>ln03xln11!$AC$46</c:f>
                  <c:strCache>
                    <c:ptCount val="1"/>
                    <c:pt idx="0">
                      <c:v>99 </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34"/>
              <c:tx>
                <c:strRef>
                  <c:f>ln03xln11!$AC$47</c:f>
                  <c:strCache>
                    <c:ptCount val="1"/>
                    <c:pt idx="0">
                      <c:v>00</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35"/>
              <c:tx>
                <c:strRef>
                  <c:f>ln03xln11!$AC$48</c:f>
                  <c:strCache>
                    <c:ptCount val="1"/>
                    <c:pt idx="0">
                      <c:v>01</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36"/>
              <c:tx>
                <c:strRef>
                  <c:f>ln03xln11!$AC$49</c:f>
                  <c:strCache>
                    <c:ptCount val="1"/>
                    <c:pt idx="0">
                      <c:v>02</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37"/>
              <c:tx>
                <c:strRef>
                  <c:f>ln03xln11!$AC$50</c:f>
                  <c:strCache>
                    <c:ptCount val="1"/>
                    <c:pt idx="0">
                      <c:v>03</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38"/>
              <c:tx>
                <c:strRef>
                  <c:f>ln03xln11!$AC$51</c:f>
                  <c:strCache>
                    <c:ptCount val="1"/>
                    <c:pt idx="0">
                      <c:v>04</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39"/>
              <c:tx>
                <c:strRef>
                  <c:f>ln03xln11!$AC$52</c:f>
                  <c:strCache>
                    <c:ptCount val="1"/>
                    <c:pt idx="0">
                      <c:v>05</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40"/>
              <c:tx>
                <c:strRef>
                  <c:f>ln03xln11!$AC$53</c:f>
                  <c:strCache>
                    <c:ptCount val="1"/>
                    <c:pt idx="0">
                      <c:v>06</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41"/>
              <c:tx>
                <c:strRef>
                  <c:f>ln03xln11!$AC$54</c:f>
                  <c:strCache>
                    <c:ptCount val="1"/>
                    <c:pt idx="0">
                      <c:v>07</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42"/>
              <c:tx>
                <c:strRef>
                  <c:f>ln03xln11!$AC$55</c:f>
                  <c:strCache>
                    <c:ptCount val="1"/>
                    <c:pt idx="0">
                      <c:v>08</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dLbl>
              <c:idx val="43"/>
              <c:tx>
                <c:strRef>
                  <c:f>ln03xln11!$AC$61</c:f>
                  <c:strCache>
                    <c:ptCount val="1"/>
                    <c:pt idx="0">
                      <c:v>09</c:v>
                    </c:pt>
                  </c:strCache>
                </c:strRef>
              </c:tx>
              <c:spPr>
                <a:noFill/>
                <a:ln w="25400">
                  <a:noFill/>
                </a:ln>
              </c:spPr>
              <c:txPr>
                <a:bodyPr/>
                <a:lstStyle/>
                <a:p>
                  <a:pPr>
                    <a:defRPr sz="1200" b="0" i="0" u="none" strike="noStrike" baseline="0">
                      <a:solidFill>
                        <a:srgbClr val="000000"/>
                      </a:solidFill>
                      <a:latin typeface="SWISS"/>
                      <a:ea typeface="SWISS"/>
                      <a:cs typeface="SWISS"/>
                    </a:defRPr>
                  </a:pPr>
                  <a:endParaRPr lang="en-US"/>
                </a:p>
              </c:txPr>
              <c:dLblPos val="t"/>
              <c:showLegendKey val="0"/>
              <c:showVal val="0"/>
              <c:showCatName val="0"/>
              <c:showSerName val="0"/>
              <c:showPercent val="0"/>
              <c:showBubbleSize val="0"/>
            </c:dLbl>
            <c:showLegendKey val="0"/>
            <c:showVal val="0"/>
            <c:showCatName val="0"/>
            <c:showSerName val="0"/>
            <c:showPercent val="0"/>
            <c:showBubbleSize val="0"/>
          </c:dLbls>
          <c:trendline>
            <c:spPr>
              <a:ln w="25400">
                <a:solidFill>
                  <a:srgbClr val="000000"/>
                </a:solidFill>
                <a:prstDash val="solid"/>
              </a:ln>
            </c:spPr>
            <c:trendlineType val="linear"/>
            <c:dispRSqr val="1"/>
            <c:dispEq val="1"/>
            <c:trendlineLbl>
              <c:layout>
                <c:manualLayout>
                  <c:x val="3.2765475043187282E-3"/>
                  <c:y val="0.30920521021319775"/>
                </c:manualLayout>
              </c:layout>
              <c:numFmt formatCode="General" sourceLinked="0"/>
              <c:spPr>
                <a:noFill/>
                <a:ln w="25400">
                  <a:noFill/>
                </a:ln>
              </c:spPr>
              <c:txPr>
                <a:bodyPr/>
                <a:lstStyle/>
                <a:p>
                  <a:pPr>
                    <a:defRPr sz="1200" b="0" i="0" u="none" strike="noStrike" baseline="0">
                      <a:solidFill>
                        <a:srgbClr val="000000"/>
                      </a:solidFill>
                      <a:latin typeface="Times New Roman"/>
                      <a:ea typeface="Times New Roman"/>
                      <a:cs typeface="Times New Roman"/>
                    </a:defRPr>
                  </a:pPr>
                  <a:endParaRPr lang="en-US"/>
                </a:p>
              </c:txPr>
            </c:trendlineLbl>
          </c:trendline>
          <c:xVal>
            <c:numRef>
              <c:f>ln03xln11!$Z$13:$Z$61</c:f>
              <c:numCache>
                <c:formatCode>General</c:formatCode>
                <c:ptCount val="49"/>
                <c:pt idx="0">
                  <c:v>9.5821363703707938</c:v>
                </c:pt>
                <c:pt idx="1">
                  <c:v>9.4645231159839032</c:v>
                </c:pt>
                <c:pt idx="2">
                  <c:v>6.0609833927814609</c:v>
                </c:pt>
                <c:pt idx="3">
                  <c:v>7.3798360922232167</c:v>
                </c:pt>
                <c:pt idx="4">
                  <c:v>4.2036292731298142</c:v>
                </c:pt>
                <c:pt idx="5">
                  <c:v>7.4317194294202729</c:v>
                </c:pt>
                <c:pt idx="6">
                  <c:v>7.6639367951832256</c:v>
                </c:pt>
                <c:pt idx="7">
                  <c:v>7.6027317587172334</c:v>
                </c:pt>
                <c:pt idx="8">
                  <c:v>10.094320373460834</c:v>
                </c:pt>
                <c:pt idx="9">
                  <c:v>7.183103439062938</c:v>
                </c:pt>
                <c:pt idx="10">
                  <c:v>6.9567747344682118</c:v>
                </c:pt>
                <c:pt idx="11">
                  <c:v>7.3308201925797913</c:v>
                </c:pt>
                <c:pt idx="12">
                  <c:v>8.9295922381264159</c:v>
                </c:pt>
                <c:pt idx="13">
                  <c:v>6.8938697503515991</c:v>
                </c:pt>
                <c:pt idx="14">
                  <c:v>8.3645249297946567</c:v>
                </c:pt>
                <c:pt idx="15">
                  <c:v>8.586839002480172</c:v>
                </c:pt>
                <c:pt idx="16">
                  <c:v>11.283954198754358</c:v>
                </c:pt>
                <c:pt idx="17">
                  <c:v>9.7332633270381361</c:v>
                </c:pt>
                <c:pt idx="18">
                  <c:v>10.155779660590518</c:v>
                </c:pt>
                <c:pt idx="19">
                  <c:v>8.4721977115721039</c:v>
                </c:pt>
                <c:pt idx="20">
                  <c:v>10.345240318270431</c:v>
                </c:pt>
                <c:pt idx="21">
                  <c:v>9.8478179976135216</c:v>
                </c:pt>
                <c:pt idx="22">
                  <c:v>9.6834574148761732</c:v>
                </c:pt>
                <c:pt idx="23">
                  <c:v>10.513712327196895</c:v>
                </c:pt>
                <c:pt idx="24">
                  <c:v>9.0379152018843385</c:v>
                </c:pt>
                <c:pt idx="25">
                  <c:v>11.274736584128879</c:v>
                </c:pt>
                <c:pt idx="26">
                  <c:v>9.8249464850406518</c:v>
                </c:pt>
                <c:pt idx="27">
                  <c:v>10.15702482649354</c:v>
                </c:pt>
                <c:pt idx="28">
                  <c:v>10.940255662011179</c:v>
                </c:pt>
                <c:pt idx="29">
                  <c:v>10.970081997673907</c:v>
                </c:pt>
                <c:pt idx="30">
                  <c:v>10.39143784195393</c:v>
                </c:pt>
                <c:pt idx="31">
                  <c:v>9.7087147148805393</c:v>
                </c:pt>
                <c:pt idx="32">
                  <c:v>11.904776138540297</c:v>
                </c:pt>
                <c:pt idx="33">
                  <c:v>10.307167724513286</c:v>
                </c:pt>
                <c:pt idx="34">
                  <c:v>9.4491825260610103</c:v>
                </c:pt>
                <c:pt idx="35">
                  <c:v>9.0215762013225334</c:v>
                </c:pt>
                <c:pt idx="36">
                  <c:v>9.5921190125256324</c:v>
                </c:pt>
                <c:pt idx="37">
                  <c:v>8.9332970094275055</c:v>
                </c:pt>
                <c:pt idx="38">
                  <c:v>9.6642080418653293</c:v>
                </c:pt>
                <c:pt idx="39">
                  <c:v>8.8309871049856525</c:v>
                </c:pt>
                <c:pt idx="40">
                  <c:v>8.7144924910752639</c:v>
                </c:pt>
                <c:pt idx="41">
                  <c:v>8.5588084665941651</c:v>
                </c:pt>
                <c:pt idx="42">
                  <c:v>10.097964899274954</c:v>
                </c:pt>
                <c:pt idx="43">
                  <c:v>7.8876004921868139</c:v>
                </c:pt>
                <c:pt idx="44">
                  <c:v>7.408557997551882</c:v>
                </c:pt>
                <c:pt idx="45">
                  <c:v>8.8710681588590035</c:v>
                </c:pt>
                <c:pt idx="46">
                  <c:v>7.1740783512018949</c:v>
                </c:pt>
                <c:pt idx="47">
                  <c:v>7.9677926218453861</c:v>
                </c:pt>
                <c:pt idx="48">
                  <c:v>7.4025896323361646</c:v>
                </c:pt>
              </c:numCache>
            </c:numRef>
          </c:xVal>
          <c:yVal>
            <c:numRef>
              <c:f>ln03xln11!$AB$13:$AB$61</c:f>
              <c:numCache>
                <c:formatCode>General</c:formatCode>
                <c:ptCount val="49"/>
                <c:pt idx="0">
                  <c:v>10.772558121886703</c:v>
                </c:pt>
                <c:pt idx="1">
                  <c:v>8.3513880672186342</c:v>
                </c:pt>
                <c:pt idx="2">
                  <c:v>8.7579462835897282</c:v>
                </c:pt>
                <c:pt idx="3">
                  <c:v>5.9381241906021609</c:v>
                </c:pt>
                <c:pt idx="4">
                  <c:v>8.3390313888342202</c:v>
                </c:pt>
                <c:pt idx="5">
                  <c:v>7.7507051389466728</c:v>
                </c:pt>
                <c:pt idx="6">
                  <c:v>9.7741257277297162</c:v>
                </c:pt>
                <c:pt idx="7">
                  <c:v>10.145609862448119</c:v>
                </c:pt>
                <c:pt idx="8">
                  <c:v>8.8651800515007348</c:v>
                </c:pt>
                <c:pt idx="9">
                  <c:v>8.0935587151970356</c:v>
                </c:pt>
                <c:pt idx="10">
                  <c:v>9.4293031174291908</c:v>
                </c:pt>
                <c:pt idx="11">
                  <c:v>10.217352589747847</c:v>
                </c:pt>
                <c:pt idx="12">
                  <c:v>8.8781335483064883</c:v>
                </c:pt>
                <c:pt idx="13">
                  <c:v>9.2582345420544776</c:v>
                </c:pt>
                <c:pt idx="14">
                  <c:v>8.586839002480172</c:v>
                </c:pt>
                <c:pt idx="15">
                  <c:v>12.238417612427757</c:v>
                </c:pt>
                <c:pt idx="16">
                  <c:v>10.808748399681072</c:v>
                </c:pt>
                <c:pt idx="17">
                  <c:v>11.306855279311714</c:v>
                </c:pt>
                <c:pt idx="18">
                  <c:v>9.7455515916903028</c:v>
                </c:pt>
                <c:pt idx="19">
                  <c:v>11.677699198282076</c:v>
                </c:pt>
                <c:pt idx="20">
                  <c:v>11.778844272462115</c:v>
                </c:pt>
                <c:pt idx="21">
                  <c:v>11.710656075118306</c:v>
                </c:pt>
                <c:pt idx="22">
                  <c:v>11.469223264682705</c:v>
                </c:pt>
                <c:pt idx="23">
                  <c:v>10.947528823911643</c:v>
                </c:pt>
                <c:pt idx="24">
                  <c:v>12.368367898989618</c:v>
                </c:pt>
                <c:pt idx="25">
                  <c:v>11.980728768239114</c:v>
                </c:pt>
                <c:pt idx="26">
                  <c:v>11.393794873387254</c:v>
                </c:pt>
                <c:pt idx="27">
                  <c:v>12.390944748030137</c:v>
                </c:pt>
                <c:pt idx="28">
                  <c:v>12.077595776693562</c:v>
                </c:pt>
                <c:pt idx="29">
                  <c:v>11.444517861693397</c:v>
                </c:pt>
                <c:pt idx="30">
                  <c:v>11.63141771270136</c:v>
                </c:pt>
                <c:pt idx="31">
                  <c:v>13.595628383617642</c:v>
                </c:pt>
                <c:pt idx="32">
                  <c:v>11.632204798551918</c:v>
                </c:pt>
                <c:pt idx="33">
                  <c:v>11.530092281583716</c:v>
                </c:pt>
                <c:pt idx="34">
                  <c:v>11.098819997280653</c:v>
                </c:pt>
                <c:pt idx="35">
                  <c:v>11.988035255548843</c:v>
                </c:pt>
                <c:pt idx="36">
                  <c:v>10.947893925516528</c:v>
                </c:pt>
                <c:pt idx="37">
                  <c:v>11.171887521512488</c:v>
                </c:pt>
                <c:pt idx="38">
                  <c:v>11.489160711917497</c:v>
                </c:pt>
                <c:pt idx="39">
                  <c:v>11.792349508205923</c:v>
                </c:pt>
                <c:pt idx="40">
                  <c:v>11.090258885682895</c:v>
                </c:pt>
                <c:pt idx="41">
                  <c:v>11.377305266840285</c:v>
                </c:pt>
                <c:pt idx="42">
                  <c:v>9.6464942455516205</c:v>
                </c:pt>
                <c:pt idx="43">
                  <c:v>10.693310040674076</c:v>
                </c:pt>
                <c:pt idx="44">
                  <c:v>9.8704379869059142</c:v>
                </c:pt>
                <c:pt idx="45">
                  <c:v>11.385840386620675</c:v>
                </c:pt>
                <c:pt idx="46">
                  <c:v>11.100218577949152</c:v>
                </c:pt>
                <c:pt idx="47">
                  <c:v>9.9927829021427534</c:v>
                </c:pt>
                <c:pt idx="48">
                  <c:v>9.5093676168778956</c:v>
                </c:pt>
              </c:numCache>
            </c:numRef>
          </c:yVal>
          <c:smooth val="0"/>
        </c:ser>
        <c:dLbls>
          <c:showLegendKey val="0"/>
          <c:showVal val="0"/>
          <c:showCatName val="0"/>
          <c:showSerName val="0"/>
          <c:showPercent val="0"/>
          <c:showBubbleSize val="0"/>
        </c:dLbls>
        <c:axId val="355711616"/>
        <c:axId val="355730176"/>
      </c:scatterChart>
      <c:valAx>
        <c:axId val="355711616"/>
        <c:scaling>
          <c:orientation val="minMax"/>
          <c:min val="3"/>
        </c:scaling>
        <c:delete val="0"/>
        <c:axPos val="b"/>
        <c:title>
          <c:tx>
            <c:rich>
              <a:bodyPr/>
              <a:lstStyle/>
              <a:p>
                <a:pPr>
                  <a:defRPr sz="1200" b="0" i="0" u="none" strike="noStrike" baseline="0">
                    <a:solidFill>
                      <a:srgbClr val="000000"/>
                    </a:solidFill>
                    <a:latin typeface="Arial"/>
                    <a:ea typeface="Arial"/>
                    <a:cs typeface="Arial"/>
                  </a:defRPr>
                </a:pPr>
                <a:r>
                  <a:rPr lang="en-US"/>
                  <a:t>LN(1.1)</a:t>
                </a:r>
              </a:p>
            </c:rich>
          </c:tx>
          <c:layout>
            <c:manualLayout>
              <c:xMode val="edge"/>
              <c:yMode val="edge"/>
              <c:x val="0.49383182739670939"/>
              <c:y val="0.88648644551199496"/>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55730176"/>
        <c:crosses val="autoZero"/>
        <c:crossBetween val="midCat"/>
      </c:valAx>
      <c:valAx>
        <c:axId val="355730176"/>
        <c:scaling>
          <c:orientation val="minMax"/>
          <c:min val="4"/>
        </c:scaling>
        <c:delete val="0"/>
        <c:axPos val="l"/>
        <c:title>
          <c:tx>
            <c:rich>
              <a:bodyPr/>
              <a:lstStyle/>
              <a:p>
                <a:pPr>
                  <a:defRPr sz="1200" b="0" i="0" u="none" strike="noStrike" baseline="0">
                    <a:solidFill>
                      <a:srgbClr val="000000"/>
                    </a:solidFill>
                    <a:latin typeface="Arial"/>
                    <a:ea typeface="Arial"/>
                    <a:cs typeface="Arial"/>
                  </a:defRPr>
                </a:pPr>
                <a:r>
                  <a:rPr lang="en-US"/>
                  <a:t>LN(0.3)</a:t>
                </a:r>
              </a:p>
            </c:rich>
          </c:tx>
          <c:layout>
            <c:manualLayout>
              <c:xMode val="edge"/>
              <c:yMode val="edge"/>
              <c:x val="1.4804366524785034E-2"/>
              <c:y val="0.41441447075433552"/>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55711616"/>
        <c:crosses val="autoZero"/>
        <c:crossBetween val="midCat"/>
      </c:valAx>
      <c:spPr>
        <a:solidFill>
          <a:srgbClr val="FFFFFF"/>
        </a:solidFill>
        <a:ln w="25400">
          <a:noFill/>
        </a:ln>
      </c:spPr>
    </c:plotArea>
    <c:legend>
      <c:legendPos val="r"/>
      <c:legendEntry>
        <c:idx val="0"/>
        <c:delete val="1"/>
      </c:legendEntry>
      <c:layout>
        <c:manualLayout>
          <c:xMode val="edge"/>
          <c:yMode val="edge"/>
          <c:x val="0.13641180521560201"/>
          <c:y val="0.15675677724399975"/>
          <c:w val="0.44836122565817327"/>
          <c:h val="4.5045055288666445E-2"/>
        </c:manualLayout>
      </c:layout>
      <c:overlay val="0"/>
      <c:spPr>
        <a:solidFill>
          <a:srgbClr val="FFFFFF"/>
        </a:solidFill>
        <a:ln w="25400">
          <a:noFill/>
        </a:ln>
      </c:spPr>
      <c:txPr>
        <a:bodyPr/>
        <a:lstStyle/>
        <a:p>
          <a:pPr>
            <a:defRPr sz="101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000000"/>
                </a:solidFill>
                <a:latin typeface="Arial"/>
                <a:ea typeface="Arial"/>
                <a:cs typeface="Arial"/>
              </a:defRPr>
            </a:pPr>
            <a:r>
              <a:rPr lang="en-US"/>
              <a:t>LN (0.3) FROM LN (1.1)</a:t>
            </a:r>
          </a:p>
        </c:rich>
      </c:tx>
      <c:layout>
        <c:manualLayout>
          <c:xMode val="edge"/>
          <c:yMode val="edge"/>
          <c:x val="0.34318905926232907"/>
          <c:y val="3.7388802335536944E-2"/>
        </c:manualLayout>
      </c:layout>
      <c:overlay val="0"/>
      <c:spPr>
        <a:solidFill>
          <a:srgbClr val="FFFFFF"/>
        </a:solidFill>
        <a:ln w="25400">
          <a:noFill/>
        </a:ln>
      </c:spPr>
    </c:title>
    <c:autoTitleDeleted val="0"/>
    <c:plotArea>
      <c:layout>
        <c:manualLayout>
          <c:layoutTarget val="inner"/>
          <c:xMode val="edge"/>
          <c:yMode val="edge"/>
          <c:x val="7.8141499472016901E-2"/>
          <c:y val="0.13709214703744943"/>
          <c:w val="0.89334741288278774"/>
          <c:h val="0.68724115268123265"/>
        </c:manualLayout>
      </c:layout>
      <c:scatterChart>
        <c:scatterStyle val="lineMarker"/>
        <c:varyColors val="0"/>
        <c:ser>
          <c:idx val="0"/>
          <c:order val="0"/>
          <c:tx>
            <c:v>ACTUAL</c:v>
          </c:tx>
          <c:spPr>
            <a:ln w="28575">
              <a:noFill/>
            </a:ln>
          </c:spPr>
          <c:marker>
            <c:symbol val="diamond"/>
            <c:size val="5"/>
            <c:spPr>
              <a:solidFill>
                <a:srgbClr val="00FF00"/>
              </a:solidFill>
              <a:ln>
                <a:solidFill>
                  <a:srgbClr val="000000"/>
                </a:solidFill>
                <a:prstDash val="solid"/>
              </a:ln>
            </c:spPr>
          </c:marker>
          <c:dLbls>
            <c:dLbl>
              <c:idx val="0"/>
              <c:tx>
                <c:strRef>
                  <c:f>ln03xln11!$AC$13</c:f>
                  <c:strCache>
                    <c:ptCount val="1"/>
                    <c:pt idx="0">
                      <c:v>66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1"/>
              <c:tx>
                <c:strRef>
                  <c:f>ln03xln11!$AC$14</c:f>
                  <c:strCache>
                    <c:ptCount val="1"/>
                    <c:pt idx="0">
                      <c:v>67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2"/>
              <c:tx>
                <c:strRef>
                  <c:f>ln03xln11!$AC$15</c:f>
                  <c:strCache>
                    <c:ptCount val="1"/>
                    <c:pt idx="0">
                      <c:v>68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3"/>
              <c:tx>
                <c:strRef>
                  <c:f>ln03xln11!$AC$16</c:f>
                  <c:strCache>
                    <c:ptCount val="1"/>
                    <c:pt idx="0">
                      <c:v>69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4"/>
              <c:tx>
                <c:strRef>
                  <c:f>ln03xln11!$AC$17</c:f>
                  <c:strCache>
                    <c:ptCount val="1"/>
                    <c:pt idx="0">
                      <c:v>70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5"/>
              <c:tx>
                <c:strRef>
                  <c:f>ln03xln11!$AC$18</c:f>
                  <c:strCache>
                    <c:ptCount val="1"/>
                    <c:pt idx="0">
                      <c:v>71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6"/>
              <c:tx>
                <c:strRef>
                  <c:f>ln03xln11!$AC$19</c:f>
                  <c:strCache>
                    <c:ptCount val="1"/>
                    <c:pt idx="0">
                      <c:v>72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7"/>
              <c:tx>
                <c:strRef>
                  <c:f>ln03xln11!$AC$20</c:f>
                  <c:strCache>
                    <c:ptCount val="1"/>
                    <c:pt idx="0">
                      <c:v>73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8"/>
              <c:tx>
                <c:strRef>
                  <c:f>ln03xln11!$AC$21</c:f>
                  <c:strCache>
                    <c:ptCount val="1"/>
                    <c:pt idx="0">
                      <c:v>74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9"/>
              <c:tx>
                <c:strRef>
                  <c:f>ln03xln11!$AC$22</c:f>
                  <c:strCache>
                    <c:ptCount val="1"/>
                    <c:pt idx="0">
                      <c:v>75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10"/>
              <c:tx>
                <c:strRef>
                  <c:f>ln03xln11!$AC$23</c:f>
                  <c:strCache>
                    <c:ptCount val="1"/>
                    <c:pt idx="0">
                      <c:v>76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11"/>
              <c:tx>
                <c:strRef>
                  <c:f>ln03xln11!$AC$24</c:f>
                  <c:strCache>
                    <c:ptCount val="1"/>
                    <c:pt idx="0">
                      <c:v>77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12"/>
              <c:tx>
                <c:strRef>
                  <c:f>ln03xln11!$AC$25</c:f>
                  <c:strCache>
                    <c:ptCount val="1"/>
                    <c:pt idx="0">
                      <c:v>78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13"/>
              <c:tx>
                <c:strRef>
                  <c:f>ln03xln11!$AC$26</c:f>
                  <c:strCache>
                    <c:ptCount val="1"/>
                    <c:pt idx="0">
                      <c:v>79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14"/>
              <c:tx>
                <c:strRef>
                  <c:f>ln03xln11!$AC$27</c:f>
                  <c:strCache>
                    <c:ptCount val="1"/>
                    <c:pt idx="0">
                      <c:v>80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15"/>
              <c:tx>
                <c:strRef>
                  <c:f>ln03xln11!$AC$28</c:f>
                  <c:strCache>
                    <c:ptCount val="1"/>
                    <c:pt idx="0">
                      <c:v>81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16"/>
              <c:tx>
                <c:strRef>
                  <c:f>ln03xln11!$AC$29</c:f>
                  <c:strCache>
                    <c:ptCount val="1"/>
                    <c:pt idx="0">
                      <c:v>82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17"/>
              <c:tx>
                <c:strRef>
                  <c:f>ln03xln11!$AC$30</c:f>
                  <c:strCache>
                    <c:ptCount val="1"/>
                    <c:pt idx="0">
                      <c:v>83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18"/>
              <c:tx>
                <c:strRef>
                  <c:f>ln03xln11!$AC$31</c:f>
                  <c:strCache>
                    <c:ptCount val="1"/>
                    <c:pt idx="0">
                      <c:v>84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19"/>
              <c:tx>
                <c:strRef>
                  <c:f>ln03xln11!$AC$32</c:f>
                  <c:strCache>
                    <c:ptCount val="1"/>
                    <c:pt idx="0">
                      <c:v>85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20"/>
              <c:tx>
                <c:strRef>
                  <c:f>ln03xln11!$AC$33</c:f>
                  <c:strCache>
                    <c:ptCount val="1"/>
                    <c:pt idx="0">
                      <c:v>86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21"/>
              <c:tx>
                <c:strRef>
                  <c:f>ln03xln11!$AC$34</c:f>
                  <c:strCache>
                    <c:ptCount val="1"/>
                    <c:pt idx="0">
                      <c:v>87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22"/>
              <c:tx>
                <c:strRef>
                  <c:f>ln03xln11!$AC$35</c:f>
                  <c:strCache>
                    <c:ptCount val="1"/>
                    <c:pt idx="0">
                      <c:v>88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23"/>
              <c:tx>
                <c:strRef>
                  <c:f>ln03xln11!$AC$36</c:f>
                  <c:strCache>
                    <c:ptCount val="1"/>
                    <c:pt idx="0">
                      <c:v>89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24"/>
              <c:tx>
                <c:strRef>
                  <c:f>ln03xln11!$AC$37</c:f>
                  <c:strCache>
                    <c:ptCount val="1"/>
                    <c:pt idx="0">
                      <c:v>90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25"/>
              <c:tx>
                <c:strRef>
                  <c:f>ln03xln11!$AC$38</c:f>
                  <c:strCache>
                    <c:ptCount val="1"/>
                    <c:pt idx="0">
                      <c:v>91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26"/>
              <c:tx>
                <c:strRef>
                  <c:f>ln03xln11!$AC$39</c:f>
                  <c:strCache>
                    <c:ptCount val="1"/>
                    <c:pt idx="0">
                      <c:v>92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27"/>
              <c:tx>
                <c:strRef>
                  <c:f>ln03xln11!$AC$40</c:f>
                  <c:strCache>
                    <c:ptCount val="1"/>
                    <c:pt idx="0">
                      <c:v>93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28"/>
              <c:tx>
                <c:strRef>
                  <c:f>ln03xln11!$AC$41</c:f>
                  <c:strCache>
                    <c:ptCount val="1"/>
                    <c:pt idx="0">
                      <c:v>94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29"/>
              <c:tx>
                <c:strRef>
                  <c:f>ln03xln11!$AC$42</c:f>
                  <c:strCache>
                    <c:ptCount val="1"/>
                    <c:pt idx="0">
                      <c:v>95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30"/>
              <c:tx>
                <c:strRef>
                  <c:f>ln03xln11!$AC$43</c:f>
                  <c:strCache>
                    <c:ptCount val="1"/>
                    <c:pt idx="0">
                      <c:v>96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31"/>
              <c:tx>
                <c:strRef>
                  <c:f>ln03xln11!$AC$44</c:f>
                  <c:strCache>
                    <c:ptCount val="1"/>
                    <c:pt idx="0">
                      <c:v>97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32"/>
              <c:layout>
                <c:manualLayout>
                  <c:x val="-3.5008991569045654E-2"/>
                  <c:y val="-2.5197589857730578E-3"/>
                </c:manualLayout>
              </c:layout>
              <c:tx>
                <c:strRef>
                  <c:f>ln03xln11!$AC$45</c:f>
                  <c:strCache>
                    <c:ptCount val="1"/>
                    <c:pt idx="0">
                      <c:v>98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33"/>
              <c:tx>
                <c:strRef>
                  <c:f>ln03xln11!$AC$46</c:f>
                  <c:strCache>
                    <c:ptCount val="1"/>
                    <c:pt idx="0">
                      <c:v>99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34"/>
              <c:tx>
                <c:strRef>
                  <c:f>ln03xln11!$AC$47</c:f>
                  <c:strCache>
                    <c:ptCount val="1"/>
                    <c:pt idx="0">
                      <c:v>00</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dLbl>
              <c:idx val="35"/>
              <c:tx>
                <c:strRef>
                  <c:f>ln03xln11!$AC$61</c:f>
                  <c:strCache>
                    <c:ptCount val="1"/>
                    <c:pt idx="0">
                      <c:v>09</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l"/>
              <c:showLegendKey val="0"/>
              <c:showVal val="0"/>
              <c:showCatName val="0"/>
              <c:showSerName val="0"/>
              <c:showPercent val="0"/>
              <c:showBubbleSize val="0"/>
            </c:dLbl>
            <c:showLegendKey val="0"/>
            <c:showVal val="0"/>
            <c:showCatName val="0"/>
            <c:showSerName val="0"/>
            <c:showPercent val="0"/>
            <c:showBubbleSize val="0"/>
          </c:dLbls>
          <c:trendline>
            <c:spPr>
              <a:ln w="25400">
                <a:solidFill>
                  <a:srgbClr val="000000"/>
                </a:solidFill>
                <a:prstDash val="solid"/>
              </a:ln>
            </c:spPr>
            <c:trendlineType val="linear"/>
            <c:dispRSqr val="1"/>
            <c:dispEq val="0"/>
            <c:trendlineLbl>
              <c:layout>
                <c:manualLayout>
                  <c:x val="-0.61556037636683769"/>
                  <c:y val="-1.528576200775812E-2"/>
                </c:manualLayout>
              </c:layout>
              <c:numFmt formatCode="General" sourceLinked="0"/>
              <c:spPr>
                <a:noFill/>
                <a:ln w="25400">
                  <a:noFill/>
                </a:ln>
              </c:spPr>
              <c:txPr>
                <a:bodyPr/>
                <a:lstStyle/>
                <a:p>
                  <a:pPr algn="ctr" rtl="1">
                    <a:defRPr sz="1400" b="0" i="0" u="none" strike="noStrike" baseline="0">
                      <a:solidFill>
                        <a:srgbClr val="000000"/>
                      </a:solidFill>
                      <a:latin typeface="Times New Roman"/>
                      <a:ea typeface="Times New Roman"/>
                      <a:cs typeface="Times New Roman"/>
                    </a:defRPr>
                  </a:pPr>
                  <a:endParaRPr lang="en-US"/>
                </a:p>
              </c:txPr>
            </c:trendlineLbl>
          </c:trendline>
          <c:xVal>
            <c:numRef>
              <c:f>ln03xln11!$Z$13:$Z$63</c:f>
              <c:numCache>
                <c:formatCode>General</c:formatCode>
                <c:ptCount val="51"/>
                <c:pt idx="0">
                  <c:v>9.5821363703707938</c:v>
                </c:pt>
                <c:pt idx="1">
                  <c:v>9.4645231159839032</c:v>
                </c:pt>
                <c:pt idx="2">
                  <c:v>6.0609833927814609</c:v>
                </c:pt>
                <c:pt idx="3">
                  <c:v>7.3798360922232167</c:v>
                </c:pt>
                <c:pt idx="4">
                  <c:v>4.2036292731298142</c:v>
                </c:pt>
                <c:pt idx="5">
                  <c:v>7.4317194294202729</c:v>
                </c:pt>
                <c:pt idx="6">
                  <c:v>7.6639367951832256</c:v>
                </c:pt>
                <c:pt idx="7">
                  <c:v>7.6027317587172334</c:v>
                </c:pt>
                <c:pt idx="8">
                  <c:v>10.094320373460834</c:v>
                </c:pt>
                <c:pt idx="9">
                  <c:v>7.183103439062938</c:v>
                </c:pt>
                <c:pt idx="10">
                  <c:v>6.9567747344682118</c:v>
                </c:pt>
                <c:pt idx="11">
                  <c:v>7.3308201925797913</c:v>
                </c:pt>
                <c:pt idx="12">
                  <c:v>8.9295922381264159</c:v>
                </c:pt>
                <c:pt idx="13">
                  <c:v>6.8938697503515991</c:v>
                </c:pt>
                <c:pt idx="14">
                  <c:v>8.3645249297946567</c:v>
                </c:pt>
                <c:pt idx="15">
                  <c:v>8.586839002480172</c:v>
                </c:pt>
                <c:pt idx="16">
                  <c:v>11.283954198754358</c:v>
                </c:pt>
                <c:pt idx="17">
                  <c:v>9.7332633270381361</c:v>
                </c:pt>
                <c:pt idx="18">
                  <c:v>10.155779660590518</c:v>
                </c:pt>
                <c:pt idx="19">
                  <c:v>8.4721977115721039</c:v>
                </c:pt>
                <c:pt idx="20">
                  <c:v>10.345240318270431</c:v>
                </c:pt>
                <c:pt idx="21">
                  <c:v>9.8478179976135216</c:v>
                </c:pt>
                <c:pt idx="22">
                  <c:v>9.6834574148761732</c:v>
                </c:pt>
                <c:pt idx="23">
                  <c:v>10.513712327196895</c:v>
                </c:pt>
                <c:pt idx="24">
                  <c:v>9.0379152018843385</c:v>
                </c:pt>
                <c:pt idx="25">
                  <c:v>11.274736584128879</c:v>
                </c:pt>
                <c:pt idx="26">
                  <c:v>9.8249464850406518</c:v>
                </c:pt>
                <c:pt idx="27">
                  <c:v>10.15702482649354</c:v>
                </c:pt>
                <c:pt idx="28">
                  <c:v>10.940255662011179</c:v>
                </c:pt>
                <c:pt idx="29">
                  <c:v>10.970081997673907</c:v>
                </c:pt>
                <c:pt idx="30">
                  <c:v>10.39143784195393</c:v>
                </c:pt>
                <c:pt idx="31">
                  <c:v>9.7087147148805393</c:v>
                </c:pt>
                <c:pt idx="32">
                  <c:v>11.904776138540297</c:v>
                </c:pt>
                <c:pt idx="33">
                  <c:v>10.307167724513286</c:v>
                </c:pt>
                <c:pt idx="34">
                  <c:v>9.4491825260610103</c:v>
                </c:pt>
                <c:pt idx="35">
                  <c:v>9.0215762013225334</c:v>
                </c:pt>
                <c:pt idx="36">
                  <c:v>9.5921190125256324</c:v>
                </c:pt>
                <c:pt idx="37">
                  <c:v>8.9332970094275055</c:v>
                </c:pt>
                <c:pt idx="38">
                  <c:v>9.6642080418653293</c:v>
                </c:pt>
                <c:pt idx="39">
                  <c:v>8.8309871049856525</c:v>
                </c:pt>
                <c:pt idx="40">
                  <c:v>8.7144924910752639</c:v>
                </c:pt>
                <c:pt idx="41">
                  <c:v>8.5588084665941651</c:v>
                </c:pt>
                <c:pt idx="42">
                  <c:v>10.097964899274954</c:v>
                </c:pt>
                <c:pt idx="43">
                  <c:v>7.8876004921868139</c:v>
                </c:pt>
                <c:pt idx="44">
                  <c:v>7.408557997551882</c:v>
                </c:pt>
                <c:pt idx="45">
                  <c:v>8.8710681588590035</c:v>
                </c:pt>
                <c:pt idx="46">
                  <c:v>7.1740783512018949</c:v>
                </c:pt>
                <c:pt idx="47">
                  <c:v>7.9677926218453861</c:v>
                </c:pt>
                <c:pt idx="48">
                  <c:v>7.4025896323361646</c:v>
                </c:pt>
                <c:pt idx="50" formatCode="0.0000_)">
                  <c:v>7.4025896323361646</c:v>
                </c:pt>
              </c:numCache>
            </c:numRef>
          </c:xVal>
          <c:yVal>
            <c:numRef>
              <c:f>ln03xln11!$AB$13:$AB$61</c:f>
              <c:numCache>
                <c:formatCode>General</c:formatCode>
                <c:ptCount val="49"/>
                <c:pt idx="0">
                  <c:v>10.772558121886703</c:v>
                </c:pt>
                <c:pt idx="1">
                  <c:v>8.3513880672186342</c:v>
                </c:pt>
                <c:pt idx="2">
                  <c:v>8.7579462835897282</c:v>
                </c:pt>
                <c:pt idx="3">
                  <c:v>5.9381241906021609</c:v>
                </c:pt>
                <c:pt idx="4">
                  <c:v>8.3390313888342202</c:v>
                </c:pt>
                <c:pt idx="5">
                  <c:v>7.7507051389466728</c:v>
                </c:pt>
                <c:pt idx="6">
                  <c:v>9.7741257277297162</c:v>
                </c:pt>
                <c:pt idx="7">
                  <c:v>10.145609862448119</c:v>
                </c:pt>
                <c:pt idx="8">
                  <c:v>8.8651800515007348</c:v>
                </c:pt>
                <c:pt idx="9">
                  <c:v>8.0935587151970356</c:v>
                </c:pt>
                <c:pt idx="10">
                  <c:v>9.4293031174291908</c:v>
                </c:pt>
                <c:pt idx="11">
                  <c:v>10.217352589747847</c:v>
                </c:pt>
                <c:pt idx="12">
                  <c:v>8.8781335483064883</c:v>
                </c:pt>
                <c:pt idx="13">
                  <c:v>9.2582345420544776</c:v>
                </c:pt>
                <c:pt idx="14">
                  <c:v>8.586839002480172</c:v>
                </c:pt>
                <c:pt idx="15">
                  <c:v>12.238417612427757</c:v>
                </c:pt>
                <c:pt idx="16">
                  <c:v>10.808748399681072</c:v>
                </c:pt>
                <c:pt idx="17">
                  <c:v>11.306855279311714</c:v>
                </c:pt>
                <c:pt idx="18">
                  <c:v>9.7455515916903028</c:v>
                </c:pt>
                <c:pt idx="19">
                  <c:v>11.677699198282076</c:v>
                </c:pt>
                <c:pt idx="20">
                  <c:v>11.778844272462115</c:v>
                </c:pt>
                <c:pt idx="21">
                  <c:v>11.710656075118306</c:v>
                </c:pt>
                <c:pt idx="22">
                  <c:v>11.469223264682705</c:v>
                </c:pt>
                <c:pt idx="23">
                  <c:v>10.947528823911643</c:v>
                </c:pt>
                <c:pt idx="24">
                  <c:v>12.368367898989618</c:v>
                </c:pt>
                <c:pt idx="25">
                  <c:v>11.980728768239114</c:v>
                </c:pt>
                <c:pt idx="26">
                  <c:v>11.393794873387254</c:v>
                </c:pt>
                <c:pt idx="27">
                  <c:v>12.390944748030137</c:v>
                </c:pt>
                <c:pt idx="28">
                  <c:v>12.077595776693562</c:v>
                </c:pt>
                <c:pt idx="29">
                  <c:v>11.444517861693397</c:v>
                </c:pt>
                <c:pt idx="30">
                  <c:v>11.63141771270136</c:v>
                </c:pt>
                <c:pt idx="31">
                  <c:v>13.595628383617642</c:v>
                </c:pt>
                <c:pt idx="32">
                  <c:v>11.632204798551918</c:v>
                </c:pt>
                <c:pt idx="33">
                  <c:v>11.530092281583716</c:v>
                </c:pt>
                <c:pt idx="34">
                  <c:v>11.098819997280653</c:v>
                </c:pt>
                <c:pt idx="35">
                  <c:v>11.988035255548843</c:v>
                </c:pt>
                <c:pt idx="36">
                  <c:v>10.947893925516528</c:v>
                </c:pt>
                <c:pt idx="37">
                  <c:v>11.171887521512488</c:v>
                </c:pt>
                <c:pt idx="38">
                  <c:v>11.489160711917497</c:v>
                </c:pt>
                <c:pt idx="39">
                  <c:v>11.792349508205923</c:v>
                </c:pt>
                <c:pt idx="40">
                  <c:v>11.090258885682895</c:v>
                </c:pt>
                <c:pt idx="41">
                  <c:v>11.377305266840285</c:v>
                </c:pt>
                <c:pt idx="42">
                  <c:v>9.6464942455516205</c:v>
                </c:pt>
                <c:pt idx="43">
                  <c:v>10.693310040674076</c:v>
                </c:pt>
                <c:pt idx="44">
                  <c:v>9.8704379869059142</c:v>
                </c:pt>
                <c:pt idx="45">
                  <c:v>11.385840386620675</c:v>
                </c:pt>
                <c:pt idx="46">
                  <c:v>11.100218577949152</c:v>
                </c:pt>
                <c:pt idx="47">
                  <c:v>9.9927829021427534</c:v>
                </c:pt>
                <c:pt idx="48">
                  <c:v>9.5093676168778956</c:v>
                </c:pt>
              </c:numCache>
            </c:numRef>
          </c:yVal>
          <c:smooth val="0"/>
        </c:ser>
        <c:ser>
          <c:idx val="1"/>
          <c:order val="1"/>
          <c:tx>
            <c:v>Lower</c:v>
          </c:tx>
          <c:spPr>
            <a:ln w="12700">
              <a:solidFill>
                <a:srgbClr val="0000FF"/>
              </a:solidFill>
              <a:prstDash val="solid"/>
            </a:ln>
          </c:spPr>
          <c:marker>
            <c:symbol val="none"/>
          </c:marker>
          <c:xVal>
            <c:numRef>
              <c:f>ln03xln11!$Z$13:$Z$63</c:f>
              <c:numCache>
                <c:formatCode>General</c:formatCode>
                <c:ptCount val="51"/>
                <c:pt idx="0">
                  <c:v>9.5821363703707938</c:v>
                </c:pt>
                <c:pt idx="1">
                  <c:v>9.4645231159839032</c:v>
                </c:pt>
                <c:pt idx="2">
                  <c:v>6.0609833927814609</c:v>
                </c:pt>
                <c:pt idx="3">
                  <c:v>7.3798360922232167</c:v>
                </c:pt>
                <c:pt idx="4">
                  <c:v>4.2036292731298142</c:v>
                </c:pt>
                <c:pt idx="5">
                  <c:v>7.4317194294202729</c:v>
                </c:pt>
                <c:pt idx="6">
                  <c:v>7.6639367951832256</c:v>
                </c:pt>
                <c:pt idx="7">
                  <c:v>7.6027317587172334</c:v>
                </c:pt>
                <c:pt idx="8">
                  <c:v>10.094320373460834</c:v>
                </c:pt>
                <c:pt idx="9">
                  <c:v>7.183103439062938</c:v>
                </c:pt>
                <c:pt idx="10">
                  <c:v>6.9567747344682118</c:v>
                </c:pt>
                <c:pt idx="11">
                  <c:v>7.3308201925797913</c:v>
                </c:pt>
                <c:pt idx="12">
                  <c:v>8.9295922381264159</c:v>
                </c:pt>
                <c:pt idx="13">
                  <c:v>6.8938697503515991</c:v>
                </c:pt>
                <c:pt idx="14">
                  <c:v>8.3645249297946567</c:v>
                </c:pt>
                <c:pt idx="15">
                  <c:v>8.586839002480172</c:v>
                </c:pt>
                <c:pt idx="16">
                  <c:v>11.283954198754358</c:v>
                </c:pt>
                <c:pt idx="17">
                  <c:v>9.7332633270381361</c:v>
                </c:pt>
                <c:pt idx="18">
                  <c:v>10.155779660590518</c:v>
                </c:pt>
                <c:pt idx="19">
                  <c:v>8.4721977115721039</c:v>
                </c:pt>
                <c:pt idx="20">
                  <c:v>10.345240318270431</c:v>
                </c:pt>
                <c:pt idx="21">
                  <c:v>9.8478179976135216</c:v>
                </c:pt>
                <c:pt idx="22">
                  <c:v>9.6834574148761732</c:v>
                </c:pt>
                <c:pt idx="23">
                  <c:v>10.513712327196895</c:v>
                </c:pt>
                <c:pt idx="24">
                  <c:v>9.0379152018843385</c:v>
                </c:pt>
                <c:pt idx="25">
                  <c:v>11.274736584128879</c:v>
                </c:pt>
                <c:pt idx="26">
                  <c:v>9.8249464850406518</c:v>
                </c:pt>
                <c:pt idx="27">
                  <c:v>10.15702482649354</c:v>
                </c:pt>
                <c:pt idx="28">
                  <c:v>10.940255662011179</c:v>
                </c:pt>
                <c:pt idx="29">
                  <c:v>10.970081997673907</c:v>
                </c:pt>
                <c:pt idx="30">
                  <c:v>10.39143784195393</c:v>
                </c:pt>
                <c:pt idx="31">
                  <c:v>9.7087147148805393</c:v>
                </c:pt>
                <c:pt idx="32">
                  <c:v>11.904776138540297</c:v>
                </c:pt>
                <c:pt idx="33">
                  <c:v>10.307167724513286</c:v>
                </c:pt>
                <c:pt idx="34">
                  <c:v>9.4491825260610103</c:v>
                </c:pt>
                <c:pt idx="35">
                  <c:v>9.0215762013225334</c:v>
                </c:pt>
                <c:pt idx="36">
                  <c:v>9.5921190125256324</c:v>
                </c:pt>
                <c:pt idx="37">
                  <c:v>8.9332970094275055</c:v>
                </c:pt>
                <c:pt idx="38">
                  <c:v>9.6642080418653293</c:v>
                </c:pt>
                <c:pt idx="39">
                  <c:v>8.8309871049856525</c:v>
                </c:pt>
                <c:pt idx="40">
                  <c:v>8.7144924910752639</c:v>
                </c:pt>
                <c:pt idx="41">
                  <c:v>8.5588084665941651</c:v>
                </c:pt>
                <c:pt idx="42">
                  <c:v>10.097964899274954</c:v>
                </c:pt>
                <c:pt idx="43">
                  <c:v>7.8876004921868139</c:v>
                </c:pt>
                <c:pt idx="44">
                  <c:v>7.408557997551882</c:v>
                </c:pt>
                <c:pt idx="45">
                  <c:v>8.8710681588590035</c:v>
                </c:pt>
                <c:pt idx="46">
                  <c:v>7.1740783512018949</c:v>
                </c:pt>
                <c:pt idx="47">
                  <c:v>7.9677926218453861</c:v>
                </c:pt>
                <c:pt idx="48">
                  <c:v>7.4025896323361646</c:v>
                </c:pt>
                <c:pt idx="50" formatCode="0.0000_)">
                  <c:v>7.4025896323361646</c:v>
                </c:pt>
              </c:numCache>
            </c:numRef>
          </c:xVal>
          <c:yVal>
            <c:numRef>
              <c:f>ln03xln11!$AD$13:$AD$61</c:f>
              <c:numCache>
                <c:formatCode>General</c:formatCode>
                <c:ptCount val="49"/>
                <c:pt idx="0">
                  <c:v>9.2832712706404585</c:v>
                </c:pt>
                <c:pt idx="1">
                  <c:v>9.218160679123141</c:v>
                </c:pt>
                <c:pt idx="2">
                  <c:v>7.3339641590487998</c:v>
                </c:pt>
                <c:pt idx="3">
                  <c:v>8.0640798235842652</c:v>
                </c:pt>
                <c:pt idx="4">
                  <c:v>6.305734594123809</c:v>
                </c:pt>
                <c:pt idx="5">
                  <c:v>8.092802392247151</c:v>
                </c:pt>
                <c:pt idx="6">
                  <c:v>8.2213577164258567</c:v>
                </c:pt>
                <c:pt idx="7">
                  <c:v>8.1874746634577704</c:v>
                </c:pt>
                <c:pt idx="8">
                  <c:v>9.5668158726561394</c:v>
                </c:pt>
                <c:pt idx="9">
                  <c:v>7.9551688042879176</c:v>
                </c:pt>
                <c:pt idx="10">
                  <c:v>7.8298734376191659</c:v>
                </c:pt>
                <c:pt idx="11">
                  <c:v>8.0369446657640573</c:v>
                </c:pt>
                <c:pt idx="12">
                  <c:v>8.9220234277585462</c:v>
                </c:pt>
                <c:pt idx="13">
                  <c:v>7.7950492951653994</c:v>
                </c:pt>
                <c:pt idx="14">
                  <c:v>8.6092026756726305</c:v>
                </c:pt>
                <c:pt idx="15">
                  <c:v>8.7322755457384638</c:v>
                </c:pt>
                <c:pt idx="16">
                  <c:v>10.225396085045059</c:v>
                </c:pt>
                <c:pt idx="17">
                  <c:v>9.3669350175040051</c:v>
                </c:pt>
                <c:pt idx="18">
                  <c:v>9.6008396785622594</c:v>
                </c:pt>
                <c:pt idx="19">
                  <c:v>8.6688102305217036</c:v>
                </c:pt>
                <c:pt idx="20">
                  <c:v>9.705724927721505</c:v>
                </c:pt>
                <c:pt idx="21">
                  <c:v>9.4303523797827431</c:v>
                </c:pt>
                <c:pt idx="22">
                  <c:v>9.3393625094662838</c:v>
                </c:pt>
                <c:pt idx="23">
                  <c:v>9.7989908798669099</c:v>
                </c:pt>
                <c:pt idx="24">
                  <c:v>8.9819909227654122</c:v>
                </c:pt>
                <c:pt idx="25">
                  <c:v>10.220293221904573</c:v>
                </c:pt>
                <c:pt idx="26">
                  <c:v>9.4176907310571956</c:v>
                </c:pt>
                <c:pt idx="27">
                  <c:v>9.6015290012827741</c:v>
                </c:pt>
                <c:pt idx="28">
                  <c:v>10.035124885190569</c:v>
                </c:pt>
                <c:pt idx="29">
                  <c:v>10.051636717703989</c:v>
                </c:pt>
                <c:pt idx="30">
                  <c:v>9.731299835153056</c:v>
                </c:pt>
                <c:pt idx="31">
                  <c:v>9.3533449279614409</c:v>
                </c:pt>
                <c:pt idx="32">
                  <c:v>10.569082550801902</c:v>
                </c:pt>
                <c:pt idx="33">
                  <c:v>9.6846479741668361</c:v>
                </c:pt>
                <c:pt idx="34">
                  <c:v>9.2096681423821849</c:v>
                </c:pt>
                <c:pt idx="35">
                  <c:v>8.9729456667955247</c:v>
                </c:pt>
                <c:pt idx="36">
                  <c:v>9.2887976523309881</c:v>
                </c:pt>
                <c:pt idx="37">
                  <c:v>8.924074385808364</c:v>
                </c:pt>
                <c:pt idx="38">
                  <c:v>9.328706073934363</c:v>
                </c:pt>
                <c:pt idx="39">
                  <c:v>8.8674357150138619</c:v>
                </c:pt>
                <c:pt idx="40">
                  <c:v>8.8029444018550933</c:v>
                </c:pt>
                <c:pt idx="41">
                  <c:v>8.7167578663612595</c:v>
                </c:pt>
                <c:pt idx="42">
                  <c:v>9.5688334788587284</c:v>
                </c:pt>
                <c:pt idx="43">
                  <c:v>8.3451777372965381</c:v>
                </c:pt>
                <c:pt idx="44">
                  <c:v>8.0799802444611686</c:v>
                </c:pt>
                <c:pt idx="45">
                  <c:v>8.889624550276821</c:v>
                </c:pt>
                <c:pt idx="46">
                  <c:v>7.9501725237905232</c:v>
                </c:pt>
                <c:pt idx="47">
                  <c:v>8.3895720279257837</c:v>
                </c:pt>
                <c:pt idx="48">
                  <c:v>8.0766761628624373</c:v>
                </c:pt>
              </c:numCache>
            </c:numRef>
          </c:yVal>
          <c:smooth val="0"/>
        </c:ser>
        <c:ser>
          <c:idx val="2"/>
          <c:order val="2"/>
          <c:tx>
            <c:v>Upper</c:v>
          </c:tx>
          <c:spPr>
            <a:ln w="12700">
              <a:solidFill>
                <a:srgbClr val="0000FF"/>
              </a:solidFill>
              <a:prstDash val="solid"/>
            </a:ln>
          </c:spPr>
          <c:marker>
            <c:symbol val="none"/>
          </c:marker>
          <c:xVal>
            <c:numRef>
              <c:f>ln03xln11!$Z$13:$Z$63</c:f>
              <c:numCache>
                <c:formatCode>General</c:formatCode>
                <c:ptCount val="51"/>
                <c:pt idx="0">
                  <c:v>9.5821363703707938</c:v>
                </c:pt>
                <c:pt idx="1">
                  <c:v>9.4645231159839032</c:v>
                </c:pt>
                <c:pt idx="2">
                  <c:v>6.0609833927814609</c:v>
                </c:pt>
                <c:pt idx="3">
                  <c:v>7.3798360922232167</c:v>
                </c:pt>
                <c:pt idx="4">
                  <c:v>4.2036292731298142</c:v>
                </c:pt>
                <c:pt idx="5">
                  <c:v>7.4317194294202729</c:v>
                </c:pt>
                <c:pt idx="6">
                  <c:v>7.6639367951832256</c:v>
                </c:pt>
                <c:pt idx="7">
                  <c:v>7.6027317587172334</c:v>
                </c:pt>
                <c:pt idx="8">
                  <c:v>10.094320373460834</c:v>
                </c:pt>
                <c:pt idx="9">
                  <c:v>7.183103439062938</c:v>
                </c:pt>
                <c:pt idx="10">
                  <c:v>6.9567747344682118</c:v>
                </c:pt>
                <c:pt idx="11">
                  <c:v>7.3308201925797913</c:v>
                </c:pt>
                <c:pt idx="12">
                  <c:v>8.9295922381264159</c:v>
                </c:pt>
                <c:pt idx="13">
                  <c:v>6.8938697503515991</c:v>
                </c:pt>
                <c:pt idx="14">
                  <c:v>8.3645249297946567</c:v>
                </c:pt>
                <c:pt idx="15">
                  <c:v>8.586839002480172</c:v>
                </c:pt>
                <c:pt idx="16">
                  <c:v>11.283954198754358</c:v>
                </c:pt>
                <c:pt idx="17">
                  <c:v>9.7332633270381361</c:v>
                </c:pt>
                <c:pt idx="18">
                  <c:v>10.155779660590518</c:v>
                </c:pt>
                <c:pt idx="19">
                  <c:v>8.4721977115721039</c:v>
                </c:pt>
                <c:pt idx="20">
                  <c:v>10.345240318270431</c:v>
                </c:pt>
                <c:pt idx="21">
                  <c:v>9.8478179976135216</c:v>
                </c:pt>
                <c:pt idx="22">
                  <c:v>9.6834574148761732</c:v>
                </c:pt>
                <c:pt idx="23">
                  <c:v>10.513712327196895</c:v>
                </c:pt>
                <c:pt idx="24">
                  <c:v>9.0379152018843385</c:v>
                </c:pt>
                <c:pt idx="25">
                  <c:v>11.274736584128879</c:v>
                </c:pt>
                <c:pt idx="26">
                  <c:v>9.8249464850406518</c:v>
                </c:pt>
                <c:pt idx="27">
                  <c:v>10.15702482649354</c:v>
                </c:pt>
                <c:pt idx="28">
                  <c:v>10.940255662011179</c:v>
                </c:pt>
                <c:pt idx="29">
                  <c:v>10.970081997673907</c:v>
                </c:pt>
                <c:pt idx="30">
                  <c:v>10.39143784195393</c:v>
                </c:pt>
                <c:pt idx="31">
                  <c:v>9.7087147148805393</c:v>
                </c:pt>
                <c:pt idx="32">
                  <c:v>11.904776138540297</c:v>
                </c:pt>
                <c:pt idx="33">
                  <c:v>10.307167724513286</c:v>
                </c:pt>
                <c:pt idx="34">
                  <c:v>9.4491825260610103</c:v>
                </c:pt>
                <c:pt idx="35">
                  <c:v>9.0215762013225334</c:v>
                </c:pt>
                <c:pt idx="36">
                  <c:v>9.5921190125256324</c:v>
                </c:pt>
                <c:pt idx="37">
                  <c:v>8.9332970094275055</c:v>
                </c:pt>
                <c:pt idx="38">
                  <c:v>9.6642080418653293</c:v>
                </c:pt>
                <c:pt idx="39">
                  <c:v>8.8309871049856525</c:v>
                </c:pt>
                <c:pt idx="40">
                  <c:v>8.7144924910752639</c:v>
                </c:pt>
                <c:pt idx="41">
                  <c:v>8.5588084665941651</c:v>
                </c:pt>
                <c:pt idx="42">
                  <c:v>10.097964899274954</c:v>
                </c:pt>
                <c:pt idx="43">
                  <c:v>7.8876004921868139</c:v>
                </c:pt>
                <c:pt idx="44">
                  <c:v>7.408557997551882</c:v>
                </c:pt>
                <c:pt idx="45">
                  <c:v>8.8710681588590035</c:v>
                </c:pt>
                <c:pt idx="46">
                  <c:v>7.1740783512018949</c:v>
                </c:pt>
                <c:pt idx="47">
                  <c:v>7.9677926218453861</c:v>
                </c:pt>
                <c:pt idx="48">
                  <c:v>7.4025896323361646</c:v>
                </c:pt>
                <c:pt idx="50" formatCode="0.0000_)">
                  <c:v>7.4025896323361646</c:v>
                </c:pt>
              </c:numCache>
            </c:numRef>
          </c:xVal>
          <c:yVal>
            <c:numRef>
              <c:f>ln03xln11!$AE$13:$AE$61</c:f>
              <c:numCache>
                <c:formatCode>General</c:formatCode>
                <c:ptCount val="49"/>
                <c:pt idx="0">
                  <c:v>12.576840767315115</c:v>
                </c:pt>
                <c:pt idx="1">
                  <c:v>12.511730175797798</c:v>
                </c:pt>
                <c:pt idx="2">
                  <c:v>10.627533655723457</c:v>
                </c:pt>
                <c:pt idx="3">
                  <c:v>11.357649320258925</c:v>
                </c:pt>
                <c:pt idx="4">
                  <c:v>9.5993040907984675</c:v>
                </c:pt>
                <c:pt idx="5">
                  <c:v>11.386371888921808</c:v>
                </c:pt>
                <c:pt idx="6">
                  <c:v>11.514927213100513</c:v>
                </c:pt>
                <c:pt idx="7">
                  <c:v>11.481044160132427</c:v>
                </c:pt>
                <c:pt idx="8">
                  <c:v>12.860385369330796</c:v>
                </c:pt>
                <c:pt idx="9">
                  <c:v>11.248738300962575</c:v>
                </c:pt>
                <c:pt idx="10">
                  <c:v>11.123442934293823</c:v>
                </c:pt>
                <c:pt idx="11">
                  <c:v>11.330514162438714</c:v>
                </c:pt>
                <c:pt idx="12">
                  <c:v>12.215592924433203</c:v>
                </c:pt>
                <c:pt idx="13">
                  <c:v>11.088618791840059</c:v>
                </c:pt>
                <c:pt idx="14">
                  <c:v>11.902772172347287</c:v>
                </c:pt>
                <c:pt idx="15">
                  <c:v>12.025845042413124</c:v>
                </c:pt>
                <c:pt idx="16">
                  <c:v>13.518965581719716</c:v>
                </c:pt>
                <c:pt idx="17">
                  <c:v>12.660504514178662</c:v>
                </c:pt>
                <c:pt idx="18">
                  <c:v>12.894409175236916</c:v>
                </c:pt>
                <c:pt idx="19">
                  <c:v>11.96237972719636</c:v>
                </c:pt>
                <c:pt idx="20">
                  <c:v>12.999294424396165</c:v>
                </c:pt>
                <c:pt idx="21">
                  <c:v>12.7239218764574</c:v>
                </c:pt>
                <c:pt idx="22">
                  <c:v>12.63293200614094</c:v>
                </c:pt>
                <c:pt idx="23">
                  <c:v>13.092560376541567</c:v>
                </c:pt>
                <c:pt idx="24">
                  <c:v>12.275560419440069</c:v>
                </c:pt>
                <c:pt idx="25">
                  <c:v>13.513862718579229</c:v>
                </c:pt>
                <c:pt idx="26">
                  <c:v>12.711260227731852</c:v>
                </c:pt>
                <c:pt idx="27">
                  <c:v>12.895098497957434</c:v>
                </c:pt>
                <c:pt idx="28">
                  <c:v>13.328694381865226</c:v>
                </c:pt>
                <c:pt idx="29">
                  <c:v>13.345206214378646</c:v>
                </c:pt>
                <c:pt idx="30">
                  <c:v>13.024869331827713</c:v>
                </c:pt>
                <c:pt idx="31">
                  <c:v>12.646914424636098</c:v>
                </c:pt>
                <c:pt idx="32">
                  <c:v>13.862652047476558</c:v>
                </c:pt>
                <c:pt idx="33">
                  <c:v>12.978217470841493</c:v>
                </c:pt>
                <c:pt idx="34">
                  <c:v>12.503237639056842</c:v>
                </c:pt>
                <c:pt idx="35">
                  <c:v>12.266515163470181</c:v>
                </c:pt>
                <c:pt idx="36">
                  <c:v>12.582367149005645</c:v>
                </c:pt>
                <c:pt idx="37">
                  <c:v>12.217643882483024</c:v>
                </c:pt>
                <c:pt idx="38">
                  <c:v>12.62227557060902</c:v>
                </c:pt>
                <c:pt idx="39">
                  <c:v>12.161005211688519</c:v>
                </c:pt>
                <c:pt idx="40">
                  <c:v>12.09651389852975</c:v>
                </c:pt>
                <c:pt idx="41">
                  <c:v>12.01032736303592</c:v>
                </c:pt>
                <c:pt idx="42">
                  <c:v>12.862402975533385</c:v>
                </c:pt>
                <c:pt idx="43">
                  <c:v>11.638747233971195</c:v>
                </c:pt>
                <c:pt idx="44">
                  <c:v>11.373549741135829</c:v>
                </c:pt>
                <c:pt idx="45">
                  <c:v>12.183194046951481</c:v>
                </c:pt>
                <c:pt idx="46">
                  <c:v>11.243742020465181</c:v>
                </c:pt>
                <c:pt idx="47">
                  <c:v>11.68314152460044</c:v>
                </c:pt>
                <c:pt idx="48">
                  <c:v>11.370245659537094</c:v>
                </c:pt>
              </c:numCache>
            </c:numRef>
          </c:yVal>
          <c:smooth val="0"/>
        </c:ser>
        <c:ser>
          <c:idx val="3"/>
          <c:order val="3"/>
          <c:tx>
            <c:v>Forecast</c:v>
          </c:tx>
          <c:spPr>
            <a:ln w="12700">
              <a:solidFill>
                <a:srgbClr val="FF00FF"/>
              </a:solidFill>
              <a:prstDash val="solid"/>
            </a:ln>
          </c:spPr>
          <c:marker>
            <c:symbol val="square"/>
            <c:size val="10"/>
            <c:spPr>
              <a:solidFill>
                <a:srgbClr val="FF00FF"/>
              </a:solidFill>
              <a:ln>
                <a:solidFill>
                  <a:srgbClr val="000000"/>
                </a:solidFill>
                <a:prstDash val="solid"/>
              </a:ln>
            </c:spPr>
          </c:marker>
          <c:xVal>
            <c:numRef>
              <c:f>ln03xln11!$Z$13:$Z$63</c:f>
              <c:numCache>
                <c:formatCode>General</c:formatCode>
                <c:ptCount val="51"/>
                <c:pt idx="0">
                  <c:v>9.5821363703707938</c:v>
                </c:pt>
                <c:pt idx="1">
                  <c:v>9.4645231159839032</c:v>
                </c:pt>
                <c:pt idx="2">
                  <c:v>6.0609833927814609</c:v>
                </c:pt>
                <c:pt idx="3">
                  <c:v>7.3798360922232167</c:v>
                </c:pt>
                <c:pt idx="4">
                  <c:v>4.2036292731298142</c:v>
                </c:pt>
                <c:pt idx="5">
                  <c:v>7.4317194294202729</c:v>
                </c:pt>
                <c:pt idx="6">
                  <c:v>7.6639367951832256</c:v>
                </c:pt>
                <c:pt idx="7">
                  <c:v>7.6027317587172334</c:v>
                </c:pt>
                <c:pt idx="8">
                  <c:v>10.094320373460834</c:v>
                </c:pt>
                <c:pt idx="9">
                  <c:v>7.183103439062938</c:v>
                </c:pt>
                <c:pt idx="10">
                  <c:v>6.9567747344682118</c:v>
                </c:pt>
                <c:pt idx="11">
                  <c:v>7.3308201925797913</c:v>
                </c:pt>
                <c:pt idx="12">
                  <c:v>8.9295922381264159</c:v>
                </c:pt>
                <c:pt idx="13">
                  <c:v>6.8938697503515991</c:v>
                </c:pt>
                <c:pt idx="14">
                  <c:v>8.3645249297946567</c:v>
                </c:pt>
                <c:pt idx="15">
                  <c:v>8.586839002480172</c:v>
                </c:pt>
                <c:pt idx="16">
                  <c:v>11.283954198754358</c:v>
                </c:pt>
                <c:pt idx="17">
                  <c:v>9.7332633270381361</c:v>
                </c:pt>
                <c:pt idx="18">
                  <c:v>10.155779660590518</c:v>
                </c:pt>
                <c:pt idx="19">
                  <c:v>8.4721977115721039</c:v>
                </c:pt>
                <c:pt idx="20">
                  <c:v>10.345240318270431</c:v>
                </c:pt>
                <c:pt idx="21">
                  <c:v>9.8478179976135216</c:v>
                </c:pt>
                <c:pt idx="22">
                  <c:v>9.6834574148761732</c:v>
                </c:pt>
                <c:pt idx="23">
                  <c:v>10.513712327196895</c:v>
                </c:pt>
                <c:pt idx="24">
                  <c:v>9.0379152018843385</c:v>
                </c:pt>
                <c:pt idx="25">
                  <c:v>11.274736584128879</c:v>
                </c:pt>
                <c:pt idx="26">
                  <c:v>9.8249464850406518</c:v>
                </c:pt>
                <c:pt idx="27">
                  <c:v>10.15702482649354</c:v>
                </c:pt>
                <c:pt idx="28">
                  <c:v>10.940255662011179</c:v>
                </c:pt>
                <c:pt idx="29">
                  <c:v>10.970081997673907</c:v>
                </c:pt>
                <c:pt idx="30">
                  <c:v>10.39143784195393</c:v>
                </c:pt>
                <c:pt idx="31">
                  <c:v>9.7087147148805393</c:v>
                </c:pt>
                <c:pt idx="32">
                  <c:v>11.904776138540297</c:v>
                </c:pt>
                <c:pt idx="33">
                  <c:v>10.307167724513286</c:v>
                </c:pt>
                <c:pt idx="34">
                  <c:v>9.4491825260610103</c:v>
                </c:pt>
                <c:pt idx="35">
                  <c:v>9.0215762013225334</c:v>
                </c:pt>
                <c:pt idx="36">
                  <c:v>9.5921190125256324</c:v>
                </c:pt>
                <c:pt idx="37">
                  <c:v>8.9332970094275055</c:v>
                </c:pt>
                <c:pt idx="38">
                  <c:v>9.6642080418653293</c:v>
                </c:pt>
                <c:pt idx="39">
                  <c:v>8.8309871049856525</c:v>
                </c:pt>
                <c:pt idx="40">
                  <c:v>8.7144924910752639</c:v>
                </c:pt>
                <c:pt idx="41">
                  <c:v>8.5588084665941651</c:v>
                </c:pt>
                <c:pt idx="42">
                  <c:v>10.097964899274954</c:v>
                </c:pt>
                <c:pt idx="43">
                  <c:v>7.8876004921868139</c:v>
                </c:pt>
                <c:pt idx="44">
                  <c:v>7.408557997551882</c:v>
                </c:pt>
                <c:pt idx="45">
                  <c:v>8.8710681588590035</c:v>
                </c:pt>
                <c:pt idx="46">
                  <c:v>7.1740783512018949</c:v>
                </c:pt>
                <c:pt idx="47">
                  <c:v>7.9677926218453861</c:v>
                </c:pt>
                <c:pt idx="48">
                  <c:v>7.4025896323361646</c:v>
                </c:pt>
                <c:pt idx="50" formatCode="0.0000_)">
                  <c:v>7.4025896323361646</c:v>
                </c:pt>
              </c:numCache>
            </c:numRef>
          </c:xVal>
          <c:yVal>
            <c:numRef>
              <c:f>ln03xln11!$AF$13:$AF$63</c:f>
              <c:numCache>
                <c:formatCode>General</c:formatCode>
                <c:ptCount val="51"/>
                <c:pt idx="50" formatCode="0.0000_)">
                  <c:v>9.7234609111997656</c:v>
                </c:pt>
              </c:numCache>
            </c:numRef>
          </c:yVal>
          <c:smooth val="0"/>
        </c:ser>
        <c:dLbls>
          <c:showLegendKey val="0"/>
          <c:showVal val="0"/>
          <c:showCatName val="0"/>
          <c:showSerName val="0"/>
          <c:showPercent val="0"/>
          <c:showBubbleSize val="0"/>
        </c:dLbls>
        <c:axId val="356487168"/>
        <c:axId val="356489472"/>
      </c:scatterChart>
      <c:valAx>
        <c:axId val="356487168"/>
        <c:scaling>
          <c:orientation val="minMax"/>
          <c:min val="3"/>
        </c:scaling>
        <c:delete val="0"/>
        <c:axPos val="b"/>
        <c:title>
          <c:tx>
            <c:rich>
              <a:bodyPr/>
              <a:lstStyle/>
              <a:p>
                <a:pPr>
                  <a:defRPr sz="1200" b="0" i="0" u="none" strike="noStrike" baseline="0">
                    <a:solidFill>
                      <a:srgbClr val="000000"/>
                    </a:solidFill>
                    <a:latin typeface="Arial"/>
                    <a:ea typeface="Arial"/>
                    <a:cs typeface="Arial"/>
                  </a:defRPr>
                </a:pPr>
                <a:r>
                  <a:rPr lang="en-US"/>
                  <a:t>LN(1.1)</a:t>
                </a:r>
              </a:p>
            </c:rich>
          </c:tx>
          <c:layout>
            <c:manualLayout>
              <c:xMode val="edge"/>
              <c:yMode val="edge"/>
              <c:x val="0.4941922364967537"/>
              <c:y val="0.88842833148530231"/>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56489472"/>
        <c:crosses val="autoZero"/>
        <c:crossBetween val="midCat"/>
      </c:valAx>
      <c:valAx>
        <c:axId val="356489472"/>
        <c:scaling>
          <c:orientation val="minMax"/>
          <c:min val="4"/>
        </c:scaling>
        <c:delete val="0"/>
        <c:axPos val="l"/>
        <c:title>
          <c:tx>
            <c:rich>
              <a:bodyPr/>
              <a:lstStyle/>
              <a:p>
                <a:pPr>
                  <a:defRPr sz="1200" b="0" i="0" u="none" strike="noStrike" baseline="0">
                    <a:solidFill>
                      <a:srgbClr val="000000"/>
                    </a:solidFill>
                    <a:latin typeface="Arial"/>
                    <a:ea typeface="Arial"/>
                    <a:cs typeface="Arial"/>
                  </a:defRPr>
                </a:pPr>
                <a:r>
                  <a:rPr lang="en-US"/>
                  <a:t>LN(0.3)</a:t>
                </a:r>
              </a:p>
            </c:rich>
          </c:tx>
          <c:layout>
            <c:manualLayout>
              <c:xMode val="edge"/>
              <c:yMode val="edge"/>
              <c:x val="1.4783478380991861E-2"/>
              <c:y val="0.42908061625987259"/>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56487168"/>
        <c:crosses val="autoZero"/>
        <c:crossBetween val="midCat"/>
      </c:valAx>
      <c:spPr>
        <a:solidFill>
          <a:srgbClr val="FFFFFF"/>
        </a:solidFill>
        <a:ln w="25400">
          <a:noFill/>
        </a:ln>
      </c:spPr>
    </c:plotArea>
    <c:legend>
      <c:legendPos val="r"/>
      <c:legendEntry>
        <c:idx val="1"/>
        <c:delete val="1"/>
      </c:legendEntry>
      <c:legendEntry>
        <c:idx val="2"/>
        <c:delete val="1"/>
      </c:legendEntry>
      <c:layout>
        <c:manualLayout>
          <c:xMode val="edge"/>
          <c:yMode val="edge"/>
          <c:x val="0.12249205691393952"/>
          <c:y val="0.22077168161466437"/>
          <c:w val="0.32946141732283957"/>
          <c:h val="3.916927496362424E-2"/>
        </c:manualLayout>
      </c:layout>
      <c:overlay val="0"/>
      <c:spPr>
        <a:solidFill>
          <a:srgbClr val="FFFFFF"/>
        </a:solidFill>
        <a:ln w="25400">
          <a:noFill/>
        </a:ln>
      </c:spPr>
      <c:txPr>
        <a:bodyPr/>
        <a:lstStyle/>
        <a:p>
          <a:pPr>
            <a:defRPr sz="84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LN (0.3) FROM LN (0.2)</a:t>
            </a:r>
          </a:p>
        </c:rich>
      </c:tx>
      <c:layout>
        <c:manualLayout>
          <c:xMode val="edge"/>
          <c:yMode val="edge"/>
          <c:x val="0.39245541521386579"/>
          <c:y val="2.9473625923341882E-2"/>
        </c:manualLayout>
      </c:layout>
      <c:overlay val="0"/>
      <c:spPr>
        <a:solidFill>
          <a:srgbClr val="FFFFFF"/>
        </a:solidFill>
        <a:ln w="12700">
          <a:solidFill>
            <a:srgbClr val="000000"/>
          </a:solidFill>
          <a:prstDash val="solid"/>
        </a:ln>
        <a:effectLst>
          <a:outerShdw dist="35921" dir="2700000" algn="br">
            <a:srgbClr val="000000"/>
          </a:outerShdw>
        </a:effectLst>
      </c:spPr>
    </c:title>
    <c:autoTitleDeleted val="0"/>
    <c:plotArea>
      <c:layout>
        <c:manualLayout>
          <c:layoutTarget val="inner"/>
          <c:xMode val="edge"/>
          <c:yMode val="edge"/>
          <c:x val="9.5541584129991697E-2"/>
          <c:y val="0.14736842105263298"/>
          <c:w val="0.87016335084546259"/>
          <c:h val="0.65052631578947373"/>
        </c:manualLayout>
      </c:layout>
      <c:scatterChart>
        <c:scatterStyle val="lineMarker"/>
        <c:varyColors val="0"/>
        <c:ser>
          <c:idx val="0"/>
          <c:order val="0"/>
          <c:tx>
            <c:v>ACTUAL</c:v>
          </c:tx>
          <c:spPr>
            <a:ln w="28575">
              <a:noFill/>
            </a:ln>
          </c:spPr>
          <c:marker>
            <c:symbol val="diamond"/>
            <c:size val="5"/>
            <c:spPr>
              <a:solidFill>
                <a:srgbClr val="00FF00"/>
              </a:solidFill>
              <a:ln>
                <a:solidFill>
                  <a:srgbClr val="000000"/>
                </a:solidFill>
                <a:prstDash val="solid"/>
              </a:ln>
            </c:spPr>
          </c:marker>
          <c:dLbls>
            <c:dLbl>
              <c:idx val="0"/>
              <c:tx>
                <c:strRef>
                  <c:f>ln03xln02!$AC$13</c:f>
                  <c:strCache>
                    <c:ptCount val="1"/>
                    <c:pt idx="0">
                      <c:v>66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
              <c:tx>
                <c:strRef>
                  <c:f>ln03xln02!$AC$14</c:f>
                  <c:strCache>
                    <c:ptCount val="1"/>
                    <c:pt idx="0">
                      <c:v>69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
              <c:tx>
                <c:strRef>
                  <c:f>ln03xln02!$AC$15</c:f>
                  <c:strCache>
                    <c:ptCount val="1"/>
                    <c:pt idx="0">
                      <c:v>70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3"/>
              <c:tx>
                <c:strRef>
                  <c:f>ln03xln02!$AC$16</c:f>
                  <c:strCache>
                    <c:ptCount val="1"/>
                    <c:pt idx="0">
                      <c:v>71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4"/>
              <c:tx>
                <c:strRef>
                  <c:f>ln03xln02!$AC$17</c:f>
                  <c:strCache>
                    <c:ptCount val="1"/>
                    <c:pt idx="0">
                      <c:v>72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5"/>
              <c:tx>
                <c:strRef>
                  <c:f>ln03xln02!$AC$18</c:f>
                  <c:strCache>
                    <c:ptCount val="1"/>
                    <c:pt idx="0">
                      <c:v>74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6"/>
              <c:tx>
                <c:strRef>
                  <c:f>ln03xln02!$AC$19</c:f>
                  <c:strCache>
                    <c:ptCount val="1"/>
                    <c:pt idx="0">
                      <c:v>75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7"/>
              <c:tx>
                <c:strRef>
                  <c:f>ln03xln02!$AC$20</c:f>
                  <c:strCache>
                    <c:ptCount val="1"/>
                    <c:pt idx="0">
                      <c:v>76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8"/>
              <c:tx>
                <c:strRef>
                  <c:f>ln03xln02!$AC$21</c:f>
                  <c:strCache>
                    <c:ptCount val="1"/>
                    <c:pt idx="0">
                      <c:v>77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9"/>
              <c:tx>
                <c:strRef>
                  <c:f>ln03xln02!$AC$22</c:f>
                  <c:strCache>
                    <c:ptCount val="1"/>
                    <c:pt idx="0">
                      <c:v>78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0"/>
              <c:tx>
                <c:strRef>
                  <c:f>ln03xln02!$AC$23</c:f>
                  <c:strCache>
                    <c:ptCount val="1"/>
                    <c:pt idx="0">
                      <c:v>81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1"/>
              <c:tx>
                <c:strRef>
                  <c:f>ln03xln02!$AC$24</c:f>
                  <c:strCache>
                    <c:ptCount val="1"/>
                    <c:pt idx="0">
                      <c:v>82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2"/>
              <c:tx>
                <c:strRef>
                  <c:f>ln03xln02!$AC$25</c:f>
                  <c:strCache>
                    <c:ptCount val="1"/>
                    <c:pt idx="0">
                      <c:v>83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3"/>
              <c:tx>
                <c:strRef>
                  <c:f>ln03xln02!$AC$26</c:f>
                  <c:strCache>
                    <c:ptCount val="1"/>
                    <c:pt idx="0">
                      <c:v>84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4"/>
              <c:tx>
                <c:strRef>
                  <c:f>ln03xln02!$AC$27</c:f>
                  <c:strCache>
                    <c:ptCount val="1"/>
                    <c:pt idx="0">
                      <c:v>85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5"/>
              <c:tx>
                <c:strRef>
                  <c:f>ln03xln02!$AC$28</c:f>
                  <c:strCache>
                    <c:ptCount val="1"/>
                    <c:pt idx="0">
                      <c:v>86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6"/>
              <c:tx>
                <c:strRef>
                  <c:f>ln03xln02!$AC$29</c:f>
                  <c:strCache>
                    <c:ptCount val="1"/>
                    <c:pt idx="0">
                      <c:v>87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7"/>
              <c:tx>
                <c:strRef>
                  <c:f>ln03xln02!$AC$30</c:f>
                  <c:strCache>
                    <c:ptCount val="1"/>
                    <c:pt idx="0">
                      <c:v>88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8"/>
              <c:tx>
                <c:strRef>
                  <c:f>ln03xln02!$AC$31</c:f>
                  <c:strCache>
                    <c:ptCount val="1"/>
                    <c:pt idx="0">
                      <c:v>89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9"/>
              <c:tx>
                <c:strRef>
                  <c:f>ln03xln02!$AC$32</c:f>
                  <c:strCache>
                    <c:ptCount val="1"/>
                    <c:pt idx="0">
                      <c:v>90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0"/>
              <c:tx>
                <c:strRef>
                  <c:f>ln03xln02!$AC$33</c:f>
                  <c:strCache>
                    <c:ptCount val="1"/>
                    <c:pt idx="0">
                      <c:v>91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1"/>
              <c:tx>
                <c:strRef>
                  <c:f>ln03xln02!$AC$34</c:f>
                  <c:strCache>
                    <c:ptCount val="1"/>
                    <c:pt idx="0">
                      <c:v>92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2"/>
              <c:tx>
                <c:strRef>
                  <c:f>ln03xln02!$AC$35</c:f>
                  <c:strCache>
                    <c:ptCount val="1"/>
                    <c:pt idx="0">
                      <c:v>93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3"/>
              <c:tx>
                <c:strRef>
                  <c:f>ln03xln02!$AC$36</c:f>
                  <c:strCache>
                    <c:ptCount val="1"/>
                    <c:pt idx="0">
                      <c:v>94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4"/>
              <c:tx>
                <c:strRef>
                  <c:f>ln03xln02!$AC$37</c:f>
                  <c:strCache>
                    <c:ptCount val="1"/>
                    <c:pt idx="0">
                      <c:v>95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5"/>
              <c:tx>
                <c:strRef>
                  <c:f>ln03xln02!$AC$38</c:f>
                  <c:strCache>
                    <c:ptCount val="1"/>
                    <c:pt idx="0">
                      <c:v>96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6"/>
              <c:tx>
                <c:strRef>
                  <c:f>ln03xln02!$AC$39</c:f>
                  <c:strCache>
                    <c:ptCount val="1"/>
                    <c:pt idx="0">
                      <c:v>97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7"/>
              <c:tx>
                <c:strRef>
                  <c:f>ln03xln02!$AC$56</c:f>
                  <c:strCache>
                    <c:ptCount val="1"/>
                    <c:pt idx="0">
                      <c:v>09</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showLegendKey val="0"/>
            <c:showVal val="0"/>
            <c:showCatName val="0"/>
            <c:showSerName val="0"/>
            <c:showPercent val="0"/>
            <c:showBubbleSize val="0"/>
          </c:dLbls>
          <c:trendline>
            <c:spPr>
              <a:ln w="25400">
                <a:solidFill>
                  <a:srgbClr val="000000"/>
                </a:solidFill>
                <a:prstDash val="solid"/>
              </a:ln>
            </c:spPr>
            <c:trendlineType val="linear"/>
            <c:dispRSqr val="1"/>
            <c:dispEq val="1"/>
            <c:trendlineLbl>
              <c:layout>
                <c:manualLayout>
                  <c:x val="-0.46327782181314331"/>
                  <c:y val="-2.6904711527981091E-2"/>
                </c:manualLayout>
              </c:layout>
              <c:numFmt formatCode="General" sourceLinked="0"/>
              <c:spPr>
                <a:noFill/>
                <a:ln w="25400">
                  <a:noFill/>
                </a:ln>
              </c:spPr>
              <c:txPr>
                <a:bodyPr/>
                <a:lstStyle/>
                <a:p>
                  <a:pPr>
                    <a:defRPr sz="1000" b="0" i="0" u="none" strike="noStrike" baseline="0">
                      <a:solidFill>
                        <a:srgbClr val="000000"/>
                      </a:solidFill>
                      <a:latin typeface="Times New Roman"/>
                      <a:ea typeface="Times New Roman"/>
                      <a:cs typeface="Times New Roman"/>
                    </a:defRPr>
                  </a:pPr>
                  <a:endParaRPr lang="en-US"/>
                </a:p>
              </c:txPr>
            </c:trendlineLbl>
          </c:trendline>
          <c:xVal>
            <c:numRef>
              <c:f>ln03xln02!$Z$13:$Z$58</c:f>
              <c:numCache>
                <c:formatCode>General</c:formatCode>
                <c:ptCount val="46"/>
                <c:pt idx="0">
                  <c:v>7.448730423457893</c:v>
                </c:pt>
                <c:pt idx="1">
                  <c:v>6.4037444654273541</c:v>
                </c:pt>
                <c:pt idx="2">
                  <c:v>6.8380104679207978</c:v>
                </c:pt>
                <c:pt idx="3">
                  <c:v>6.9553531875465602</c:v>
                </c:pt>
                <c:pt idx="4">
                  <c:v>7.3494702924758366</c:v>
                </c:pt>
                <c:pt idx="5">
                  <c:v>9.0377838664465919</c:v>
                </c:pt>
                <c:pt idx="6">
                  <c:v>6.6075275386919516</c:v>
                </c:pt>
                <c:pt idx="7">
                  <c:v>7.007646641534075</c:v>
                </c:pt>
                <c:pt idx="8">
                  <c:v>8.0040999851136529</c:v>
                </c:pt>
                <c:pt idx="9">
                  <c:v>6.3070149062449472</c:v>
                </c:pt>
                <c:pt idx="10">
                  <c:v>8.586839002480172</c:v>
                </c:pt>
                <c:pt idx="11">
                  <c:v>8.5480442959323497</c:v>
                </c:pt>
                <c:pt idx="12">
                  <c:v>10.094793340210199</c:v>
                </c:pt>
                <c:pt idx="13">
                  <c:v>8.5746342369642754</c:v>
                </c:pt>
                <c:pt idx="14">
                  <c:v>8.8696320589821838</c:v>
                </c:pt>
                <c:pt idx="15">
                  <c:v>10.879651704009689</c:v>
                </c:pt>
                <c:pt idx="16">
                  <c:v>9.691468495413643</c:v>
                </c:pt>
                <c:pt idx="17">
                  <c:v>9.0500513831636873</c:v>
                </c:pt>
                <c:pt idx="18">
                  <c:v>9.2612356046476805</c:v>
                </c:pt>
                <c:pt idx="19">
                  <c:v>9.8791699510630728</c:v>
                </c:pt>
                <c:pt idx="20">
                  <c:v>9.9578108605616809</c:v>
                </c:pt>
                <c:pt idx="21">
                  <c:v>9.0337022339175235</c:v>
                </c:pt>
                <c:pt idx="22">
                  <c:v>10.020886736287892</c:v>
                </c:pt>
                <c:pt idx="23">
                  <c:v>9.5228809197048072</c:v>
                </c:pt>
                <c:pt idx="24">
                  <c:v>9.8274011161828199</c:v>
                </c:pt>
                <c:pt idx="25">
                  <c:v>9.513384005096821</c:v>
                </c:pt>
                <c:pt idx="26">
                  <c:v>10.703712104979081</c:v>
                </c:pt>
                <c:pt idx="27">
                  <c:v>10.370804463928135</c:v>
                </c:pt>
                <c:pt idx="28">
                  <c:v>9.8172462216092899</c:v>
                </c:pt>
                <c:pt idx="29">
                  <c:v>10.014126591359842</c:v>
                </c:pt>
                <c:pt idx="30">
                  <c:v>10.120840311840142</c:v>
                </c:pt>
                <c:pt idx="31">
                  <c:v>8.4335163157424642</c:v>
                </c:pt>
                <c:pt idx="32">
                  <c:v>9.7586433656476288</c:v>
                </c:pt>
                <c:pt idx="33">
                  <c:v>9.7199100839773536</c:v>
                </c:pt>
                <c:pt idx="34">
                  <c:v>9.1319813212506507</c:v>
                </c:pt>
                <c:pt idx="35">
                  <c:v>9.8883774208919153</c:v>
                </c:pt>
                <c:pt idx="36">
                  <c:v>10.333357474796337</c:v>
                </c:pt>
                <c:pt idx="37">
                  <c:v>8.304890584114192</c:v>
                </c:pt>
                <c:pt idx="38">
                  <c:v>8.5515274645702455</c:v>
                </c:pt>
                <c:pt idx="39">
                  <c:v>8.047781448739773</c:v>
                </c:pt>
                <c:pt idx="40">
                  <c:v>7.9023749112367323</c:v>
                </c:pt>
                <c:pt idx="41">
                  <c:v>6.4728687865229881</c:v>
                </c:pt>
                <c:pt idx="42">
                  <c:v>8.3965871587399956</c:v>
                </c:pt>
                <c:pt idx="43">
                  <c:v>7.2878390738412788</c:v>
                </c:pt>
                <c:pt idx="45">
                  <c:v>7.2878390738412788</c:v>
                </c:pt>
              </c:numCache>
            </c:numRef>
          </c:xVal>
          <c:yVal>
            <c:numRef>
              <c:f>ln03xln02!$AB$13:$AB$56</c:f>
              <c:numCache>
                <c:formatCode>General</c:formatCode>
                <c:ptCount val="44"/>
                <c:pt idx="0">
                  <c:v>8.3513880672186342</c:v>
                </c:pt>
                <c:pt idx="1">
                  <c:v>5.9381241906021609</c:v>
                </c:pt>
                <c:pt idx="2">
                  <c:v>8.3390313888342202</c:v>
                </c:pt>
                <c:pt idx="3">
                  <c:v>7.7507051389466728</c:v>
                </c:pt>
                <c:pt idx="4">
                  <c:v>9.7741257277297162</c:v>
                </c:pt>
                <c:pt idx="5">
                  <c:v>8.8651800515007348</c:v>
                </c:pt>
                <c:pt idx="6">
                  <c:v>8.0935587151970356</c:v>
                </c:pt>
                <c:pt idx="7">
                  <c:v>9.4293031174291908</c:v>
                </c:pt>
                <c:pt idx="8">
                  <c:v>10.217352589747847</c:v>
                </c:pt>
                <c:pt idx="9">
                  <c:v>8.8781335483064883</c:v>
                </c:pt>
                <c:pt idx="10">
                  <c:v>12.238417612427757</c:v>
                </c:pt>
                <c:pt idx="11">
                  <c:v>10.808748399681072</c:v>
                </c:pt>
                <c:pt idx="12">
                  <c:v>11.306855279311714</c:v>
                </c:pt>
                <c:pt idx="13">
                  <c:v>9.7455515916903028</c:v>
                </c:pt>
                <c:pt idx="14">
                  <c:v>11.677699198282076</c:v>
                </c:pt>
                <c:pt idx="15">
                  <c:v>11.778844272462115</c:v>
                </c:pt>
                <c:pt idx="16">
                  <c:v>11.710656075118306</c:v>
                </c:pt>
                <c:pt idx="17">
                  <c:v>11.469223264682705</c:v>
                </c:pt>
                <c:pt idx="18">
                  <c:v>10.947528823911643</c:v>
                </c:pt>
                <c:pt idx="19">
                  <c:v>12.368367898989618</c:v>
                </c:pt>
                <c:pt idx="20">
                  <c:v>11.980728768239114</c:v>
                </c:pt>
                <c:pt idx="21">
                  <c:v>11.393794873387254</c:v>
                </c:pt>
                <c:pt idx="22">
                  <c:v>12.390944748030137</c:v>
                </c:pt>
                <c:pt idx="23">
                  <c:v>12.077595776693562</c:v>
                </c:pt>
                <c:pt idx="24">
                  <c:v>11.444517861693397</c:v>
                </c:pt>
                <c:pt idx="25">
                  <c:v>11.63141771270136</c:v>
                </c:pt>
                <c:pt idx="26">
                  <c:v>13.595628383617642</c:v>
                </c:pt>
                <c:pt idx="27">
                  <c:v>11.632204798551918</c:v>
                </c:pt>
                <c:pt idx="28">
                  <c:v>11.530092281583716</c:v>
                </c:pt>
                <c:pt idx="29">
                  <c:v>11.098819997280653</c:v>
                </c:pt>
                <c:pt idx="30">
                  <c:v>11.988035255548843</c:v>
                </c:pt>
                <c:pt idx="31">
                  <c:v>10.947893925516528</c:v>
                </c:pt>
                <c:pt idx="32">
                  <c:v>11.171887521512488</c:v>
                </c:pt>
                <c:pt idx="33">
                  <c:v>11.489160711917497</c:v>
                </c:pt>
                <c:pt idx="34">
                  <c:v>11.792349508205923</c:v>
                </c:pt>
                <c:pt idx="35">
                  <c:v>11.090258885682895</c:v>
                </c:pt>
                <c:pt idx="36">
                  <c:v>11.377305266840285</c:v>
                </c:pt>
                <c:pt idx="37">
                  <c:v>9.6464942455516205</c:v>
                </c:pt>
                <c:pt idx="38">
                  <c:v>10.693310040674076</c:v>
                </c:pt>
                <c:pt idx="39">
                  <c:v>9.8704379869059142</c:v>
                </c:pt>
                <c:pt idx="40">
                  <c:v>11.385840386620675</c:v>
                </c:pt>
                <c:pt idx="41">
                  <c:v>11.100218577949152</c:v>
                </c:pt>
                <c:pt idx="42">
                  <c:v>9.9927829021427534</c:v>
                </c:pt>
                <c:pt idx="43">
                  <c:v>9.5093676168778956</c:v>
                </c:pt>
              </c:numCache>
            </c:numRef>
          </c:yVal>
          <c:smooth val="0"/>
        </c:ser>
        <c:ser>
          <c:idx val="1"/>
          <c:order val="1"/>
          <c:spPr>
            <a:ln w="3175">
              <a:solidFill>
                <a:srgbClr val="0000FF"/>
              </a:solidFill>
              <a:prstDash val="solid"/>
            </a:ln>
          </c:spPr>
          <c:marker>
            <c:symbol val="none"/>
          </c:marker>
          <c:xVal>
            <c:numRef>
              <c:f>ln03xln02!$Z$13:$Z$58</c:f>
              <c:numCache>
                <c:formatCode>General</c:formatCode>
                <c:ptCount val="46"/>
                <c:pt idx="0">
                  <c:v>7.448730423457893</c:v>
                </c:pt>
                <c:pt idx="1">
                  <c:v>6.4037444654273541</c:v>
                </c:pt>
                <c:pt idx="2">
                  <c:v>6.8380104679207978</c:v>
                </c:pt>
                <c:pt idx="3">
                  <c:v>6.9553531875465602</c:v>
                </c:pt>
                <c:pt idx="4">
                  <c:v>7.3494702924758366</c:v>
                </c:pt>
                <c:pt idx="5">
                  <c:v>9.0377838664465919</c:v>
                </c:pt>
                <c:pt idx="6">
                  <c:v>6.6075275386919516</c:v>
                </c:pt>
                <c:pt idx="7">
                  <c:v>7.007646641534075</c:v>
                </c:pt>
                <c:pt idx="8">
                  <c:v>8.0040999851136529</c:v>
                </c:pt>
                <c:pt idx="9">
                  <c:v>6.3070149062449472</c:v>
                </c:pt>
                <c:pt idx="10">
                  <c:v>8.586839002480172</c:v>
                </c:pt>
                <c:pt idx="11">
                  <c:v>8.5480442959323497</c:v>
                </c:pt>
                <c:pt idx="12">
                  <c:v>10.094793340210199</c:v>
                </c:pt>
                <c:pt idx="13">
                  <c:v>8.5746342369642754</c:v>
                </c:pt>
                <c:pt idx="14">
                  <c:v>8.8696320589821838</c:v>
                </c:pt>
                <c:pt idx="15">
                  <c:v>10.879651704009689</c:v>
                </c:pt>
                <c:pt idx="16">
                  <c:v>9.691468495413643</c:v>
                </c:pt>
                <c:pt idx="17">
                  <c:v>9.0500513831636873</c:v>
                </c:pt>
                <c:pt idx="18">
                  <c:v>9.2612356046476805</c:v>
                </c:pt>
                <c:pt idx="19">
                  <c:v>9.8791699510630728</c:v>
                </c:pt>
                <c:pt idx="20">
                  <c:v>9.9578108605616809</c:v>
                </c:pt>
                <c:pt idx="21">
                  <c:v>9.0337022339175235</c:v>
                </c:pt>
                <c:pt idx="22">
                  <c:v>10.020886736287892</c:v>
                </c:pt>
                <c:pt idx="23">
                  <c:v>9.5228809197048072</c:v>
                </c:pt>
                <c:pt idx="24">
                  <c:v>9.8274011161828199</c:v>
                </c:pt>
                <c:pt idx="25">
                  <c:v>9.513384005096821</c:v>
                </c:pt>
                <c:pt idx="26">
                  <c:v>10.703712104979081</c:v>
                </c:pt>
                <c:pt idx="27">
                  <c:v>10.370804463928135</c:v>
                </c:pt>
                <c:pt idx="28">
                  <c:v>9.8172462216092899</c:v>
                </c:pt>
                <c:pt idx="29">
                  <c:v>10.014126591359842</c:v>
                </c:pt>
                <c:pt idx="30">
                  <c:v>10.120840311840142</c:v>
                </c:pt>
                <c:pt idx="31">
                  <c:v>8.4335163157424642</c:v>
                </c:pt>
                <c:pt idx="32">
                  <c:v>9.7586433656476288</c:v>
                </c:pt>
                <c:pt idx="33">
                  <c:v>9.7199100839773536</c:v>
                </c:pt>
                <c:pt idx="34">
                  <c:v>9.1319813212506507</c:v>
                </c:pt>
                <c:pt idx="35">
                  <c:v>9.8883774208919153</c:v>
                </c:pt>
                <c:pt idx="36">
                  <c:v>10.333357474796337</c:v>
                </c:pt>
                <c:pt idx="37">
                  <c:v>8.304890584114192</c:v>
                </c:pt>
                <c:pt idx="38">
                  <c:v>8.5515274645702455</c:v>
                </c:pt>
                <c:pt idx="39">
                  <c:v>8.047781448739773</c:v>
                </c:pt>
                <c:pt idx="40">
                  <c:v>7.9023749112367323</c:v>
                </c:pt>
                <c:pt idx="41">
                  <c:v>6.4728687865229881</c:v>
                </c:pt>
                <c:pt idx="42">
                  <c:v>8.3965871587399956</c:v>
                </c:pt>
                <c:pt idx="43">
                  <c:v>7.2878390738412788</c:v>
                </c:pt>
                <c:pt idx="45">
                  <c:v>7.2878390738412788</c:v>
                </c:pt>
              </c:numCache>
            </c:numRef>
          </c:xVal>
          <c:yVal>
            <c:numRef>
              <c:f>ln03xln02!$AD$13:$AD$56</c:f>
              <c:numCache>
                <c:formatCode>General</c:formatCode>
                <c:ptCount val="44"/>
                <c:pt idx="0">
                  <c:v>8.1903535148745163</c:v>
                </c:pt>
                <c:pt idx="1">
                  <c:v>7.226163893169157</c:v>
                </c:pt>
                <c:pt idx="2">
                  <c:v>7.6268532703286303</c:v>
                </c:pt>
                <c:pt idx="3">
                  <c:v>7.7351232729792647</c:v>
                </c:pt>
                <c:pt idx="4">
                  <c:v>8.0987679893403843</c:v>
                </c:pt>
                <c:pt idx="5">
                  <c:v>9.6565443534121655</c:v>
                </c:pt>
                <c:pt idx="6">
                  <c:v>7.4141908449295988</c:v>
                </c:pt>
                <c:pt idx="7">
                  <c:v>7.7833734960855301</c:v>
                </c:pt>
                <c:pt idx="8">
                  <c:v>8.7027829532267269</c:v>
                </c:pt>
                <c:pt idx="9">
                  <c:v>7.1369132804129949</c:v>
                </c:pt>
                <c:pt idx="10">
                  <c:v>9.2404656927790541</c:v>
                </c:pt>
                <c:pt idx="11">
                  <c:v>9.2046705195108771</c:v>
                </c:pt>
                <c:pt idx="12">
                  <c:v>10.631827855372226</c:v>
                </c:pt>
                <c:pt idx="13">
                  <c:v>9.2292045766316626</c:v>
                </c:pt>
                <c:pt idx="14">
                  <c:v>9.5013937254231138</c:v>
                </c:pt>
                <c:pt idx="15">
                  <c:v>11.356002456062889</c:v>
                </c:pt>
                <c:pt idx="16">
                  <c:v>10.259687324161952</c:v>
                </c:pt>
                <c:pt idx="17">
                  <c:v>9.667863368956656</c:v>
                </c:pt>
                <c:pt idx="18">
                  <c:v>9.8627192261650656</c:v>
                </c:pt>
                <c:pt idx="19">
                  <c:v>10.43287605854194</c:v>
                </c:pt>
                <c:pt idx="20">
                  <c:v>10.505436601769652</c:v>
                </c:pt>
                <c:pt idx="21">
                  <c:v>9.6527783049845297</c:v>
                </c:pt>
                <c:pt idx="22">
                  <c:v>10.56363557017475</c:v>
                </c:pt>
                <c:pt idx="23">
                  <c:v>10.104134620704308</c:v>
                </c:pt>
                <c:pt idx="24">
                  <c:v>10.385109891986559</c:v>
                </c:pt>
                <c:pt idx="25">
                  <c:v>10.095371989558046</c:v>
                </c:pt>
                <c:pt idx="26">
                  <c:v>11.193666173810801</c:v>
                </c:pt>
                <c:pt idx="27">
                  <c:v>10.886498321438228</c:v>
                </c:pt>
                <c:pt idx="28">
                  <c:v>10.375740154640269</c:v>
                </c:pt>
                <c:pt idx="29">
                  <c:v>10.557398106856933</c:v>
                </c:pt>
                <c:pt idx="30">
                  <c:v>10.655860924457457</c:v>
                </c:pt>
                <c:pt idx="31">
                  <c:v>9.0989976259706786</c:v>
                </c:pt>
                <c:pt idx="32">
                  <c:v>10.321668360578059</c:v>
                </c:pt>
                <c:pt idx="33">
                  <c:v>10.285929862932161</c:v>
                </c:pt>
                <c:pt idx="34">
                  <c:v>9.7434586393077467</c:v>
                </c:pt>
                <c:pt idx="35">
                  <c:v>10.441371624231518</c:v>
                </c:pt>
                <c:pt idx="36">
                  <c:v>10.851946662626428</c:v>
                </c:pt>
                <c:pt idx="37">
                  <c:v>8.9803169924490795</c:v>
                </c:pt>
                <c:pt idx="38">
                  <c:v>9.2078843761426334</c:v>
                </c:pt>
                <c:pt idx="39">
                  <c:v>8.7430870487655632</c:v>
                </c:pt>
                <c:pt idx="40">
                  <c:v>8.6089230695167203</c:v>
                </c:pt>
                <c:pt idx="41">
                  <c:v>7.2899436525962136</c:v>
                </c:pt>
                <c:pt idx="42">
                  <c:v>9.0649237614881208</c:v>
                </c:pt>
                <c:pt idx="43">
                  <c:v>8.0419019798750604</c:v>
                </c:pt>
              </c:numCache>
            </c:numRef>
          </c:yVal>
          <c:smooth val="0"/>
        </c:ser>
        <c:ser>
          <c:idx val="2"/>
          <c:order val="2"/>
          <c:spPr>
            <a:ln w="3175">
              <a:solidFill>
                <a:srgbClr val="FFFF00"/>
              </a:solidFill>
              <a:prstDash val="solid"/>
            </a:ln>
          </c:spPr>
          <c:marker>
            <c:symbol val="none"/>
          </c:marker>
          <c:xVal>
            <c:numRef>
              <c:f>ln03xln02!$Z$13:$Z$58</c:f>
              <c:numCache>
                <c:formatCode>General</c:formatCode>
                <c:ptCount val="46"/>
                <c:pt idx="0">
                  <c:v>7.448730423457893</c:v>
                </c:pt>
                <c:pt idx="1">
                  <c:v>6.4037444654273541</c:v>
                </c:pt>
                <c:pt idx="2">
                  <c:v>6.8380104679207978</c:v>
                </c:pt>
                <c:pt idx="3">
                  <c:v>6.9553531875465602</c:v>
                </c:pt>
                <c:pt idx="4">
                  <c:v>7.3494702924758366</c:v>
                </c:pt>
                <c:pt idx="5">
                  <c:v>9.0377838664465919</c:v>
                </c:pt>
                <c:pt idx="6">
                  <c:v>6.6075275386919516</c:v>
                </c:pt>
                <c:pt idx="7">
                  <c:v>7.007646641534075</c:v>
                </c:pt>
                <c:pt idx="8">
                  <c:v>8.0040999851136529</c:v>
                </c:pt>
                <c:pt idx="9">
                  <c:v>6.3070149062449472</c:v>
                </c:pt>
                <c:pt idx="10">
                  <c:v>8.586839002480172</c:v>
                </c:pt>
                <c:pt idx="11">
                  <c:v>8.5480442959323497</c:v>
                </c:pt>
                <c:pt idx="12">
                  <c:v>10.094793340210199</c:v>
                </c:pt>
                <c:pt idx="13">
                  <c:v>8.5746342369642754</c:v>
                </c:pt>
                <c:pt idx="14">
                  <c:v>8.8696320589821838</c:v>
                </c:pt>
                <c:pt idx="15">
                  <c:v>10.879651704009689</c:v>
                </c:pt>
                <c:pt idx="16">
                  <c:v>9.691468495413643</c:v>
                </c:pt>
                <c:pt idx="17">
                  <c:v>9.0500513831636873</c:v>
                </c:pt>
                <c:pt idx="18">
                  <c:v>9.2612356046476805</c:v>
                </c:pt>
                <c:pt idx="19">
                  <c:v>9.8791699510630728</c:v>
                </c:pt>
                <c:pt idx="20">
                  <c:v>9.9578108605616809</c:v>
                </c:pt>
                <c:pt idx="21">
                  <c:v>9.0337022339175235</c:v>
                </c:pt>
                <c:pt idx="22">
                  <c:v>10.020886736287892</c:v>
                </c:pt>
                <c:pt idx="23">
                  <c:v>9.5228809197048072</c:v>
                </c:pt>
                <c:pt idx="24">
                  <c:v>9.8274011161828199</c:v>
                </c:pt>
                <c:pt idx="25">
                  <c:v>9.513384005096821</c:v>
                </c:pt>
                <c:pt idx="26">
                  <c:v>10.703712104979081</c:v>
                </c:pt>
                <c:pt idx="27">
                  <c:v>10.370804463928135</c:v>
                </c:pt>
                <c:pt idx="28">
                  <c:v>9.8172462216092899</c:v>
                </c:pt>
                <c:pt idx="29">
                  <c:v>10.014126591359842</c:v>
                </c:pt>
                <c:pt idx="30">
                  <c:v>10.120840311840142</c:v>
                </c:pt>
                <c:pt idx="31">
                  <c:v>8.4335163157424642</c:v>
                </c:pt>
                <c:pt idx="32">
                  <c:v>9.7586433656476288</c:v>
                </c:pt>
                <c:pt idx="33">
                  <c:v>9.7199100839773536</c:v>
                </c:pt>
                <c:pt idx="34">
                  <c:v>9.1319813212506507</c:v>
                </c:pt>
                <c:pt idx="35">
                  <c:v>9.8883774208919153</c:v>
                </c:pt>
                <c:pt idx="36">
                  <c:v>10.333357474796337</c:v>
                </c:pt>
                <c:pt idx="37">
                  <c:v>8.304890584114192</c:v>
                </c:pt>
                <c:pt idx="38">
                  <c:v>8.5515274645702455</c:v>
                </c:pt>
                <c:pt idx="39">
                  <c:v>8.047781448739773</c:v>
                </c:pt>
                <c:pt idx="40">
                  <c:v>7.9023749112367323</c:v>
                </c:pt>
                <c:pt idx="41">
                  <c:v>6.4728687865229881</c:v>
                </c:pt>
                <c:pt idx="42">
                  <c:v>8.3965871587399956</c:v>
                </c:pt>
                <c:pt idx="43">
                  <c:v>7.2878390738412788</c:v>
                </c:pt>
                <c:pt idx="45">
                  <c:v>7.2878390738412788</c:v>
                </c:pt>
              </c:numCache>
            </c:numRef>
          </c:xVal>
          <c:yVal>
            <c:numRef>
              <c:f>ln03xln02!$AE$13:$AE$56</c:f>
              <c:numCache>
                <c:formatCode>General</c:formatCode>
                <c:ptCount val="44"/>
                <c:pt idx="0">
                  <c:v>10.7315408329004</c:v>
                </c:pt>
                <c:pt idx="1">
                  <c:v>9.7673512111950416</c:v>
                </c:pt>
                <c:pt idx="2">
                  <c:v>10.168040588354515</c:v>
                </c:pt>
                <c:pt idx="3">
                  <c:v>10.276310591005149</c:v>
                </c:pt>
                <c:pt idx="4">
                  <c:v>10.639955307366268</c:v>
                </c:pt>
                <c:pt idx="5">
                  <c:v>12.197731671438053</c:v>
                </c:pt>
                <c:pt idx="6">
                  <c:v>9.9553781629554834</c:v>
                </c:pt>
                <c:pt idx="7">
                  <c:v>10.324560814111415</c:v>
                </c:pt>
                <c:pt idx="8">
                  <c:v>11.243970271252611</c:v>
                </c:pt>
                <c:pt idx="9">
                  <c:v>9.6781005984388813</c:v>
                </c:pt>
                <c:pt idx="10">
                  <c:v>11.781653010804941</c:v>
                </c:pt>
                <c:pt idx="11">
                  <c:v>11.745857837536764</c:v>
                </c:pt>
                <c:pt idx="12">
                  <c:v>13.17301517339811</c:v>
                </c:pt>
                <c:pt idx="13">
                  <c:v>11.77039189465755</c:v>
                </c:pt>
                <c:pt idx="14">
                  <c:v>12.042581043449001</c:v>
                </c:pt>
                <c:pt idx="15">
                  <c:v>13.897189774088773</c:v>
                </c:pt>
                <c:pt idx="16">
                  <c:v>12.800874642187836</c:v>
                </c:pt>
                <c:pt idx="17">
                  <c:v>12.209050686982543</c:v>
                </c:pt>
                <c:pt idx="18">
                  <c:v>12.403906544190953</c:v>
                </c:pt>
                <c:pt idx="19">
                  <c:v>12.974063376567823</c:v>
                </c:pt>
                <c:pt idx="20">
                  <c:v>13.046623919795536</c:v>
                </c:pt>
                <c:pt idx="21">
                  <c:v>12.193965623010417</c:v>
                </c:pt>
                <c:pt idx="22">
                  <c:v>13.104822888200633</c:v>
                </c:pt>
                <c:pt idx="23">
                  <c:v>12.645321938730191</c:v>
                </c:pt>
                <c:pt idx="24">
                  <c:v>12.926297210012446</c:v>
                </c:pt>
                <c:pt idx="25">
                  <c:v>12.636559307583934</c:v>
                </c:pt>
                <c:pt idx="26">
                  <c:v>13.734853491836688</c:v>
                </c:pt>
                <c:pt idx="27">
                  <c:v>13.427685639464116</c:v>
                </c:pt>
                <c:pt idx="28">
                  <c:v>12.916927472666153</c:v>
                </c:pt>
                <c:pt idx="29">
                  <c:v>13.098585424882817</c:v>
                </c:pt>
                <c:pt idx="30">
                  <c:v>13.197048242483344</c:v>
                </c:pt>
                <c:pt idx="31">
                  <c:v>11.640184943996562</c:v>
                </c:pt>
                <c:pt idx="32">
                  <c:v>12.862855678603946</c:v>
                </c:pt>
                <c:pt idx="33">
                  <c:v>12.827117180958048</c:v>
                </c:pt>
                <c:pt idx="34">
                  <c:v>12.284645957333634</c:v>
                </c:pt>
                <c:pt idx="35">
                  <c:v>12.982558942257402</c:v>
                </c:pt>
                <c:pt idx="36">
                  <c:v>13.393133980652316</c:v>
                </c:pt>
                <c:pt idx="37">
                  <c:v>11.521504310474967</c:v>
                </c:pt>
                <c:pt idx="38">
                  <c:v>11.749071694168521</c:v>
                </c:pt>
                <c:pt idx="39">
                  <c:v>11.284274366791447</c:v>
                </c:pt>
                <c:pt idx="40">
                  <c:v>11.150110387542604</c:v>
                </c:pt>
                <c:pt idx="41">
                  <c:v>9.8311309706220982</c:v>
                </c:pt>
                <c:pt idx="42">
                  <c:v>11.606111079514008</c:v>
                </c:pt>
                <c:pt idx="43">
                  <c:v>10.583089297900948</c:v>
                </c:pt>
              </c:numCache>
            </c:numRef>
          </c:yVal>
          <c:smooth val="0"/>
        </c:ser>
        <c:ser>
          <c:idx val="3"/>
          <c:order val="3"/>
          <c:tx>
            <c:v>Forecast</c:v>
          </c:tx>
          <c:spPr>
            <a:ln w="3175">
              <a:solidFill>
                <a:srgbClr val="FF00FF"/>
              </a:solidFill>
              <a:prstDash val="solid"/>
            </a:ln>
          </c:spPr>
          <c:marker>
            <c:symbol val="square"/>
            <c:size val="10"/>
            <c:spPr>
              <a:solidFill>
                <a:srgbClr val="FF00FF"/>
              </a:solidFill>
              <a:ln>
                <a:solidFill>
                  <a:srgbClr val="000000"/>
                </a:solidFill>
                <a:prstDash val="solid"/>
              </a:ln>
            </c:spPr>
          </c:marker>
          <c:xVal>
            <c:numRef>
              <c:f>ln03xln02!$Z$13:$Z$58</c:f>
              <c:numCache>
                <c:formatCode>General</c:formatCode>
                <c:ptCount val="46"/>
                <c:pt idx="0">
                  <c:v>7.448730423457893</c:v>
                </c:pt>
                <c:pt idx="1">
                  <c:v>6.4037444654273541</c:v>
                </c:pt>
                <c:pt idx="2">
                  <c:v>6.8380104679207978</c:v>
                </c:pt>
                <c:pt idx="3">
                  <c:v>6.9553531875465602</c:v>
                </c:pt>
                <c:pt idx="4">
                  <c:v>7.3494702924758366</c:v>
                </c:pt>
                <c:pt idx="5">
                  <c:v>9.0377838664465919</c:v>
                </c:pt>
                <c:pt idx="6">
                  <c:v>6.6075275386919516</c:v>
                </c:pt>
                <c:pt idx="7">
                  <c:v>7.007646641534075</c:v>
                </c:pt>
                <c:pt idx="8">
                  <c:v>8.0040999851136529</c:v>
                </c:pt>
                <c:pt idx="9">
                  <c:v>6.3070149062449472</c:v>
                </c:pt>
                <c:pt idx="10">
                  <c:v>8.586839002480172</c:v>
                </c:pt>
                <c:pt idx="11">
                  <c:v>8.5480442959323497</c:v>
                </c:pt>
                <c:pt idx="12">
                  <c:v>10.094793340210199</c:v>
                </c:pt>
                <c:pt idx="13">
                  <c:v>8.5746342369642754</c:v>
                </c:pt>
                <c:pt idx="14">
                  <c:v>8.8696320589821838</c:v>
                </c:pt>
                <c:pt idx="15">
                  <c:v>10.879651704009689</c:v>
                </c:pt>
                <c:pt idx="16">
                  <c:v>9.691468495413643</c:v>
                </c:pt>
                <c:pt idx="17">
                  <c:v>9.0500513831636873</c:v>
                </c:pt>
                <c:pt idx="18">
                  <c:v>9.2612356046476805</c:v>
                </c:pt>
                <c:pt idx="19">
                  <c:v>9.8791699510630728</c:v>
                </c:pt>
                <c:pt idx="20">
                  <c:v>9.9578108605616809</c:v>
                </c:pt>
                <c:pt idx="21">
                  <c:v>9.0337022339175235</c:v>
                </c:pt>
                <c:pt idx="22">
                  <c:v>10.020886736287892</c:v>
                </c:pt>
                <c:pt idx="23">
                  <c:v>9.5228809197048072</c:v>
                </c:pt>
                <c:pt idx="24">
                  <c:v>9.8274011161828199</c:v>
                </c:pt>
                <c:pt idx="25">
                  <c:v>9.513384005096821</c:v>
                </c:pt>
                <c:pt idx="26">
                  <c:v>10.703712104979081</c:v>
                </c:pt>
                <c:pt idx="27">
                  <c:v>10.370804463928135</c:v>
                </c:pt>
                <c:pt idx="28">
                  <c:v>9.8172462216092899</c:v>
                </c:pt>
                <c:pt idx="29">
                  <c:v>10.014126591359842</c:v>
                </c:pt>
                <c:pt idx="30">
                  <c:v>10.120840311840142</c:v>
                </c:pt>
                <c:pt idx="31">
                  <c:v>8.4335163157424642</c:v>
                </c:pt>
                <c:pt idx="32">
                  <c:v>9.7586433656476288</c:v>
                </c:pt>
                <c:pt idx="33">
                  <c:v>9.7199100839773536</c:v>
                </c:pt>
                <c:pt idx="34">
                  <c:v>9.1319813212506507</c:v>
                </c:pt>
                <c:pt idx="35">
                  <c:v>9.8883774208919153</c:v>
                </c:pt>
                <c:pt idx="36">
                  <c:v>10.333357474796337</c:v>
                </c:pt>
                <c:pt idx="37">
                  <c:v>8.304890584114192</c:v>
                </c:pt>
                <c:pt idx="38">
                  <c:v>8.5515274645702455</c:v>
                </c:pt>
                <c:pt idx="39">
                  <c:v>8.047781448739773</c:v>
                </c:pt>
                <c:pt idx="40">
                  <c:v>7.9023749112367323</c:v>
                </c:pt>
                <c:pt idx="41">
                  <c:v>6.4728687865229881</c:v>
                </c:pt>
                <c:pt idx="42">
                  <c:v>8.3965871587399956</c:v>
                </c:pt>
                <c:pt idx="43">
                  <c:v>7.2878390738412788</c:v>
                </c:pt>
                <c:pt idx="45">
                  <c:v>7.2878390738412788</c:v>
                </c:pt>
              </c:numCache>
            </c:numRef>
          </c:xVal>
          <c:yVal>
            <c:numRef>
              <c:f>ln03xln02!$AF$13:$AF$58</c:f>
              <c:numCache>
                <c:formatCode>General</c:formatCode>
                <c:ptCount val="46"/>
                <c:pt idx="45">
                  <c:v>9.312495638888004</c:v>
                </c:pt>
              </c:numCache>
            </c:numRef>
          </c:yVal>
          <c:smooth val="0"/>
        </c:ser>
        <c:dLbls>
          <c:showLegendKey val="0"/>
          <c:showVal val="0"/>
          <c:showCatName val="0"/>
          <c:showSerName val="0"/>
          <c:showPercent val="0"/>
          <c:showBubbleSize val="0"/>
        </c:dLbls>
        <c:axId val="355980800"/>
        <c:axId val="355988224"/>
      </c:scatterChart>
      <c:valAx>
        <c:axId val="355980800"/>
        <c:scaling>
          <c:orientation val="minMax"/>
          <c:min val="6"/>
        </c:scaling>
        <c:delete val="0"/>
        <c:axPos val="b"/>
        <c:title>
          <c:tx>
            <c:rich>
              <a:bodyPr/>
              <a:lstStyle/>
              <a:p>
                <a:pPr>
                  <a:defRPr sz="1000" b="0" i="0" u="none" strike="noStrike" baseline="0">
                    <a:solidFill>
                      <a:srgbClr val="000000"/>
                    </a:solidFill>
                    <a:latin typeface="Arial"/>
                    <a:ea typeface="Arial"/>
                    <a:cs typeface="Arial"/>
                  </a:defRPr>
                </a:pPr>
                <a:r>
                  <a:rPr lang="en-US"/>
                  <a:t>LN(0.2)</a:t>
                </a:r>
              </a:p>
            </c:rich>
          </c:tx>
          <c:layout>
            <c:manualLayout>
              <c:xMode val="edge"/>
              <c:yMode val="edge"/>
              <c:x val="0.49681621908698698"/>
              <c:y val="0.8610525266620157"/>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355988224"/>
        <c:crosses val="autoZero"/>
        <c:crossBetween val="midCat"/>
      </c:valAx>
      <c:valAx>
        <c:axId val="355988224"/>
        <c:scaling>
          <c:orientation val="minMax"/>
          <c:min val="5"/>
        </c:scaling>
        <c:delete val="0"/>
        <c:axPos val="l"/>
        <c:title>
          <c:tx>
            <c:rich>
              <a:bodyPr/>
              <a:lstStyle/>
              <a:p>
                <a:pPr>
                  <a:defRPr sz="1000" b="0" i="0" u="none" strike="noStrike" baseline="0">
                    <a:solidFill>
                      <a:srgbClr val="000000"/>
                    </a:solidFill>
                    <a:latin typeface="Arial"/>
                    <a:ea typeface="Arial"/>
                    <a:cs typeface="Arial"/>
                  </a:defRPr>
                </a:pPr>
                <a:r>
                  <a:rPr lang="en-US"/>
                  <a:t>LN(0.3)</a:t>
                </a:r>
              </a:p>
            </c:rich>
          </c:tx>
          <c:layout>
            <c:manualLayout>
              <c:xMode val="edge"/>
              <c:yMode val="edge"/>
              <c:x val="2.3517984005664981E-2"/>
              <c:y val="0.42315780147734738"/>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355980800"/>
        <c:crosses val="autoZero"/>
        <c:crossBetween val="midCat"/>
      </c:valAx>
      <c:spPr>
        <a:solidFill>
          <a:srgbClr val="FFFFFF"/>
        </a:solidFill>
        <a:ln w="12700">
          <a:solidFill>
            <a:srgbClr val="000000"/>
          </a:solidFill>
          <a:prstDash val="solid"/>
        </a:ln>
      </c:spPr>
    </c:plotArea>
    <c:legend>
      <c:legendPos val="b"/>
      <c:legendEntry>
        <c:idx val="1"/>
        <c:delete val="1"/>
      </c:legendEntry>
      <c:legendEntry>
        <c:idx val="2"/>
        <c:delete val="1"/>
      </c:legendEntry>
      <c:layout>
        <c:manualLayout>
          <c:xMode val="edge"/>
          <c:yMode val="edge"/>
          <c:x val="0.29985360334357364"/>
          <c:y val="0.93473692370731642"/>
          <c:w val="0.46153939701818775"/>
          <c:h val="5.0526374076658283E-2"/>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84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9525">
      <a:noFill/>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0" i="0" u="none" strike="noStrike" baseline="0">
                <a:solidFill>
                  <a:srgbClr val="000000"/>
                </a:solidFill>
                <a:latin typeface="SWISS"/>
                <a:ea typeface="SWISS"/>
                <a:cs typeface="SWISS"/>
              </a:defRPr>
            </a:pPr>
            <a:r>
              <a:rPr lang="en-US"/>
              <a:t>Percent Error of age 1.2 Forecast Models</a:t>
            </a:r>
          </a:p>
        </c:rich>
      </c:tx>
      <c:layout>
        <c:manualLayout>
          <c:xMode val="edge"/>
          <c:yMode val="edge"/>
          <c:x val="0.16773889950146986"/>
          <c:y val="2.8021015761821456E-2"/>
        </c:manualLayout>
      </c:layout>
      <c:overlay val="0"/>
      <c:spPr>
        <a:solidFill>
          <a:srgbClr val="FFFFFF"/>
        </a:solidFill>
        <a:ln w="12700">
          <a:solidFill>
            <a:srgbClr val="000000"/>
          </a:solidFill>
          <a:prstDash val="solid"/>
        </a:ln>
        <a:effectLst>
          <a:outerShdw dist="35921" dir="2700000" algn="br">
            <a:srgbClr val="000000"/>
          </a:outerShdw>
        </a:effectLst>
      </c:spPr>
    </c:title>
    <c:autoTitleDeleted val="0"/>
    <c:plotArea>
      <c:layout>
        <c:manualLayout>
          <c:layoutTarget val="inner"/>
          <c:xMode val="edge"/>
          <c:yMode val="edge"/>
          <c:x val="0.14398826384318594"/>
          <c:y val="0.1523642732049037"/>
          <c:w val="0.81197505486827826"/>
          <c:h val="0.67425569176883215"/>
        </c:manualLayout>
      </c:layout>
      <c:scatterChart>
        <c:scatterStyle val="lineMarker"/>
        <c:varyColors val="0"/>
        <c:ser>
          <c:idx val="0"/>
          <c:order val="0"/>
          <c:tx>
            <c:v>Ln12 x Ln11</c:v>
          </c:tx>
          <c:spPr>
            <a:ln w="28575">
              <a:noFill/>
            </a:ln>
          </c:spPr>
          <c:marker>
            <c:symbol val="diamond"/>
            <c:size val="5"/>
            <c:spPr>
              <a:solidFill>
                <a:srgbClr val="000000"/>
              </a:solidFill>
              <a:ln>
                <a:solidFill>
                  <a:srgbClr val="000000"/>
                </a:solidFill>
                <a:prstDash val="solid"/>
              </a:ln>
            </c:spPr>
          </c:marker>
          <c:xVal>
            <c:numRef>
              <c:f>ln12rpsxBYE!$A$13:$A$61</c:f>
              <c:numCache>
                <c:formatCode>General</c:formatCode>
                <c:ptCount val="49"/>
                <c:pt idx="0">
                  <c:v>1962</c:v>
                </c:pt>
                <c:pt idx="1">
                  <c:v>1963</c:v>
                </c:pt>
                <c:pt idx="2">
                  <c:v>1964</c:v>
                </c:pt>
                <c:pt idx="3">
                  <c:v>1965</c:v>
                </c:pt>
                <c:pt idx="4">
                  <c:v>1966</c:v>
                </c:pt>
                <c:pt idx="5">
                  <c:v>1967</c:v>
                </c:pt>
                <c:pt idx="6">
                  <c:v>1968</c:v>
                </c:pt>
                <c:pt idx="7">
                  <c:v>1969</c:v>
                </c:pt>
                <c:pt idx="8">
                  <c:v>1970</c:v>
                </c:pt>
                <c:pt idx="9">
                  <c:v>1971</c:v>
                </c:pt>
                <c:pt idx="10">
                  <c:v>1972</c:v>
                </c:pt>
                <c:pt idx="11">
                  <c:v>1973</c:v>
                </c:pt>
                <c:pt idx="12">
                  <c:v>1974</c:v>
                </c:pt>
                <c:pt idx="13">
                  <c:v>1975</c:v>
                </c:pt>
                <c:pt idx="14">
                  <c:v>1976</c:v>
                </c:pt>
                <c:pt idx="15">
                  <c:v>1977</c:v>
                </c:pt>
                <c:pt idx="16">
                  <c:v>1978</c:v>
                </c:pt>
                <c:pt idx="17">
                  <c:v>1979</c:v>
                </c:pt>
                <c:pt idx="18">
                  <c:v>1980</c:v>
                </c:pt>
                <c:pt idx="19">
                  <c:v>1981</c:v>
                </c:pt>
                <c:pt idx="20">
                  <c:v>1982</c:v>
                </c:pt>
                <c:pt idx="21">
                  <c:v>1983</c:v>
                </c:pt>
                <c:pt idx="22">
                  <c:v>1984</c:v>
                </c:pt>
                <c:pt idx="23">
                  <c:v>1985</c:v>
                </c:pt>
                <c:pt idx="24">
                  <c:v>1986</c:v>
                </c:pt>
                <c:pt idx="25">
                  <c:v>1987</c:v>
                </c:pt>
                <c:pt idx="26">
                  <c:v>1988</c:v>
                </c:pt>
                <c:pt idx="27">
                  <c:v>1989</c:v>
                </c:pt>
                <c:pt idx="28">
                  <c:v>1990</c:v>
                </c:pt>
                <c:pt idx="29">
                  <c:v>1991</c:v>
                </c:pt>
                <c:pt idx="30">
                  <c:v>1992</c:v>
                </c:pt>
                <c:pt idx="31">
                  <c:v>1993</c:v>
                </c:pt>
                <c:pt idx="32">
                  <c:v>1994</c:v>
                </c:pt>
                <c:pt idx="33">
                  <c:v>1995</c:v>
                </c:pt>
                <c:pt idx="34">
                  <c:v>1996</c:v>
                </c:pt>
                <c:pt idx="35">
                  <c:v>1997</c:v>
                </c:pt>
                <c:pt idx="36">
                  <c:v>1998</c:v>
                </c:pt>
                <c:pt idx="37">
                  <c:v>1999</c:v>
                </c:pt>
                <c:pt idx="38">
                  <c:v>2000</c:v>
                </c:pt>
                <c:pt idx="39">
                  <c:v>2001</c:v>
                </c:pt>
                <c:pt idx="40">
                  <c:v>2002</c:v>
                </c:pt>
                <c:pt idx="41">
                  <c:v>2003</c:v>
                </c:pt>
                <c:pt idx="42">
                  <c:v>2004</c:v>
                </c:pt>
                <c:pt idx="43">
                  <c:v>2005</c:v>
                </c:pt>
                <c:pt idx="44">
                  <c:v>2006</c:v>
                </c:pt>
                <c:pt idx="45">
                  <c:v>2007</c:v>
                </c:pt>
                <c:pt idx="46">
                  <c:v>2008</c:v>
                </c:pt>
                <c:pt idx="47">
                  <c:v>2009</c:v>
                </c:pt>
                <c:pt idx="48">
                  <c:v>2010</c:v>
                </c:pt>
              </c:numCache>
            </c:numRef>
          </c:xVal>
          <c:yVal>
            <c:numRef>
              <c:f>ln12rpsxBYE!$X$13:$X$41</c:f>
              <c:numCache>
                <c:formatCode>0.0%</c:formatCode>
                <c:ptCount val="29"/>
                <c:pt idx="0">
                  <c:v>1.0148534270107661</c:v>
                </c:pt>
                <c:pt idx="1">
                  <c:v>0.65599809052995661</c:v>
                </c:pt>
                <c:pt idx="2">
                  <c:v>-0.54132376027840723</c:v>
                </c:pt>
                <c:pt idx="3">
                  <c:v>-0.51831018041110488</c:v>
                </c:pt>
                <c:pt idx="4">
                  <c:v>-0.37730294145577636</c:v>
                </c:pt>
                <c:pt idx="5">
                  <c:v>4.8800615193794292E-2</c:v>
                </c:pt>
                <c:pt idx="6">
                  <c:v>-3.1250286125142891E-2</c:v>
                </c:pt>
                <c:pt idx="7">
                  <c:v>1.2485235893941535</c:v>
                </c:pt>
                <c:pt idx="8">
                  <c:v>1.1935488656661029</c:v>
                </c:pt>
                <c:pt idx="9">
                  <c:v>3.9829309091494802</c:v>
                </c:pt>
                <c:pt idx="10">
                  <c:v>0.44621691439926675</c:v>
                </c:pt>
                <c:pt idx="11">
                  <c:v>6.1567919945655758</c:v>
                </c:pt>
                <c:pt idx="12">
                  <c:v>-0.16831245944774673</c:v>
                </c:pt>
                <c:pt idx="13">
                  <c:v>0.7233521262460707</c:v>
                </c:pt>
                <c:pt idx="14">
                  <c:v>-0.16103152984223354</c:v>
                </c:pt>
                <c:pt idx="15">
                  <c:v>0.39603118336068766</c:v>
                </c:pt>
                <c:pt idx="16">
                  <c:v>-0.63538667696010698</c:v>
                </c:pt>
                <c:pt idx="17">
                  <c:v>-0.36764576894868956</c:v>
                </c:pt>
                <c:pt idx="18">
                  <c:v>0.15988544565247478</c:v>
                </c:pt>
                <c:pt idx="19">
                  <c:v>0.60695798353268315</c:v>
                </c:pt>
                <c:pt idx="20">
                  <c:v>-0.19958329679336123</c:v>
                </c:pt>
                <c:pt idx="21">
                  <c:v>1.1839787194986293</c:v>
                </c:pt>
                <c:pt idx="22">
                  <c:v>-0.17704183577131855</c:v>
                </c:pt>
                <c:pt idx="23">
                  <c:v>-9.7475309001587799E-3</c:v>
                </c:pt>
                <c:pt idx="24">
                  <c:v>-0.22158718704326921</c:v>
                </c:pt>
                <c:pt idx="25">
                  <c:v>-3.9806716516066147E-2</c:v>
                </c:pt>
                <c:pt idx="26">
                  <c:v>-8.0862183787609773E-2</c:v>
                </c:pt>
                <c:pt idx="27">
                  <c:v>-7.3476330285373578E-2</c:v>
                </c:pt>
                <c:pt idx="28">
                  <c:v>0.12410724238162171</c:v>
                </c:pt>
              </c:numCache>
            </c:numRef>
          </c:yVal>
          <c:smooth val="0"/>
        </c:ser>
        <c:ser>
          <c:idx val="1"/>
          <c:order val="1"/>
          <c:tx>
            <c:v>LN(Obs)-LN(Avg)</c:v>
          </c:tx>
          <c:spPr>
            <a:ln w="12700">
              <a:solidFill>
                <a:srgbClr val="0000FF"/>
              </a:solidFill>
              <a:prstDash val="solid"/>
            </a:ln>
          </c:spPr>
          <c:marker>
            <c:symbol val="triangle"/>
            <c:size val="5"/>
            <c:spPr>
              <a:solidFill>
                <a:srgbClr val="0000FF"/>
              </a:solidFill>
              <a:ln>
                <a:solidFill>
                  <a:srgbClr val="000000"/>
                </a:solidFill>
                <a:prstDash val="solid"/>
              </a:ln>
            </c:spPr>
          </c:marker>
          <c:xVal>
            <c:numRef>
              <c:f>ln12rpsxBYE!$A$13:$A$61</c:f>
              <c:numCache>
                <c:formatCode>General</c:formatCode>
                <c:ptCount val="49"/>
                <c:pt idx="0">
                  <c:v>1962</c:v>
                </c:pt>
                <c:pt idx="1">
                  <c:v>1963</c:v>
                </c:pt>
                <c:pt idx="2">
                  <c:v>1964</c:v>
                </c:pt>
                <c:pt idx="3">
                  <c:v>1965</c:v>
                </c:pt>
                <c:pt idx="4">
                  <c:v>1966</c:v>
                </c:pt>
                <c:pt idx="5">
                  <c:v>1967</c:v>
                </c:pt>
                <c:pt idx="6">
                  <c:v>1968</c:v>
                </c:pt>
                <c:pt idx="7">
                  <c:v>1969</c:v>
                </c:pt>
                <c:pt idx="8">
                  <c:v>1970</c:v>
                </c:pt>
                <c:pt idx="9">
                  <c:v>1971</c:v>
                </c:pt>
                <c:pt idx="10">
                  <c:v>1972</c:v>
                </c:pt>
                <c:pt idx="11">
                  <c:v>1973</c:v>
                </c:pt>
                <c:pt idx="12">
                  <c:v>1974</c:v>
                </c:pt>
                <c:pt idx="13">
                  <c:v>1975</c:v>
                </c:pt>
                <c:pt idx="14">
                  <c:v>1976</c:v>
                </c:pt>
                <c:pt idx="15">
                  <c:v>1977</c:v>
                </c:pt>
                <c:pt idx="16">
                  <c:v>1978</c:v>
                </c:pt>
                <c:pt idx="17">
                  <c:v>1979</c:v>
                </c:pt>
                <c:pt idx="18">
                  <c:v>1980</c:v>
                </c:pt>
                <c:pt idx="19">
                  <c:v>1981</c:v>
                </c:pt>
                <c:pt idx="20">
                  <c:v>1982</c:v>
                </c:pt>
                <c:pt idx="21">
                  <c:v>1983</c:v>
                </c:pt>
                <c:pt idx="22">
                  <c:v>1984</c:v>
                </c:pt>
                <c:pt idx="23">
                  <c:v>1985</c:v>
                </c:pt>
                <c:pt idx="24">
                  <c:v>1986</c:v>
                </c:pt>
                <c:pt idx="25">
                  <c:v>1987</c:v>
                </c:pt>
                <c:pt idx="26">
                  <c:v>1988</c:v>
                </c:pt>
                <c:pt idx="27">
                  <c:v>1989</c:v>
                </c:pt>
                <c:pt idx="28">
                  <c:v>1990</c:v>
                </c:pt>
                <c:pt idx="29">
                  <c:v>1991</c:v>
                </c:pt>
                <c:pt idx="30">
                  <c:v>1992</c:v>
                </c:pt>
                <c:pt idx="31">
                  <c:v>1993</c:v>
                </c:pt>
                <c:pt idx="32">
                  <c:v>1994</c:v>
                </c:pt>
                <c:pt idx="33">
                  <c:v>1995</c:v>
                </c:pt>
                <c:pt idx="34">
                  <c:v>1996</c:v>
                </c:pt>
                <c:pt idx="35">
                  <c:v>1997</c:v>
                </c:pt>
                <c:pt idx="36">
                  <c:v>1998</c:v>
                </c:pt>
                <c:pt idx="37">
                  <c:v>1999</c:v>
                </c:pt>
                <c:pt idx="38">
                  <c:v>2000</c:v>
                </c:pt>
                <c:pt idx="39">
                  <c:v>2001</c:v>
                </c:pt>
                <c:pt idx="40">
                  <c:v>2002</c:v>
                </c:pt>
                <c:pt idx="41">
                  <c:v>2003</c:v>
                </c:pt>
                <c:pt idx="42">
                  <c:v>2004</c:v>
                </c:pt>
                <c:pt idx="43">
                  <c:v>2005</c:v>
                </c:pt>
                <c:pt idx="44">
                  <c:v>2006</c:v>
                </c:pt>
                <c:pt idx="45">
                  <c:v>2007</c:v>
                </c:pt>
                <c:pt idx="46">
                  <c:v>2008</c:v>
                </c:pt>
                <c:pt idx="47">
                  <c:v>2009</c:v>
                </c:pt>
                <c:pt idx="48">
                  <c:v>2010</c:v>
                </c:pt>
              </c:numCache>
            </c:numRef>
          </c:xVal>
          <c:yVal>
            <c:numRef>
              <c:f>ln12rpsxBYE!$D$69:$D$98</c:f>
              <c:numCache>
                <c:formatCode>0.00_)</c:formatCode>
                <c:ptCount val="30"/>
                <c:pt idx="0">
                  <c:v>0.63326342591241824</c:v>
                </c:pt>
                <c:pt idx="1">
                  <c:v>0.18981382728663898</c:v>
                </c:pt>
                <c:pt idx="2">
                  <c:v>-1.2528821596208126</c:v>
                </c:pt>
                <c:pt idx="3">
                  <c:v>-1.03928964595615</c:v>
                </c:pt>
                <c:pt idx="4">
                  <c:v>-0.74942157999610037</c:v>
                </c:pt>
                <c:pt idx="5">
                  <c:v>-0.47663359381493003</c:v>
                </c:pt>
                <c:pt idx="6">
                  <c:v>-0.44604330324123759</c:v>
                </c:pt>
                <c:pt idx="7">
                  <c:v>0.92048570825571918</c:v>
                </c:pt>
                <c:pt idx="8">
                  <c:v>0.59392319770707258</c:v>
                </c:pt>
                <c:pt idx="9">
                  <c:v>1.9052098195300529</c:v>
                </c:pt>
                <c:pt idx="10">
                  <c:v>0.2467358803631394</c:v>
                </c:pt>
                <c:pt idx="11">
                  <c:v>2.0950610111594488</c:v>
                </c:pt>
                <c:pt idx="12">
                  <c:v>-0.64306323181326119</c:v>
                </c:pt>
                <c:pt idx="13">
                  <c:v>7.2703243957644534E-2</c:v>
                </c:pt>
                <c:pt idx="14">
                  <c:v>-0.58293876472184403</c:v>
                </c:pt>
                <c:pt idx="15">
                  <c:v>0.13189588271616826</c:v>
                </c:pt>
                <c:pt idx="16">
                  <c:v>-1.4998664163259161</c:v>
                </c:pt>
                <c:pt idx="17">
                  <c:v>-0.55498107227782223</c:v>
                </c:pt>
                <c:pt idx="18">
                  <c:v>0.2776680333121751</c:v>
                </c:pt>
                <c:pt idx="19">
                  <c:v>0.86586705917499063</c:v>
                </c:pt>
                <c:pt idx="20">
                  <c:v>-0.14398424149436231</c:v>
                </c:pt>
                <c:pt idx="21">
                  <c:v>1.0984512296553213</c:v>
                </c:pt>
                <c:pt idx="22">
                  <c:v>0.21726977819643814</c:v>
                </c:pt>
                <c:pt idx="23">
                  <c:v>0.14640743431773962</c:v>
                </c:pt>
                <c:pt idx="24">
                  <c:v>-0.31172322842950739</c:v>
                </c:pt>
                <c:pt idx="25">
                  <c:v>-8.0858473309989937E-2</c:v>
                </c:pt>
                <c:pt idx="26">
                  <c:v>-0.14488116633697268</c:v>
                </c:pt>
                <c:pt idx="27">
                  <c:v>-1.7074803961835864E-2</c:v>
                </c:pt>
                <c:pt idx="28">
                  <c:v>0.25639892946739923</c:v>
                </c:pt>
                <c:pt idx="29">
                  <c:v>-0.71364912736105879</c:v>
                </c:pt>
              </c:numCache>
            </c:numRef>
          </c:yVal>
          <c:smooth val="0"/>
        </c:ser>
        <c:ser>
          <c:idx val="2"/>
          <c:order val="2"/>
          <c:tx>
            <c:v>LN(obs-avg)</c:v>
          </c:tx>
          <c:spPr>
            <a:ln w="12700">
              <a:solidFill>
                <a:srgbClr val="FFFF00"/>
              </a:solidFill>
              <a:prstDash val="solid"/>
            </a:ln>
          </c:spPr>
          <c:marker>
            <c:symbol val="square"/>
            <c:size val="5"/>
            <c:spPr>
              <a:noFill/>
              <a:ln>
                <a:solidFill>
                  <a:srgbClr val="FFFF00"/>
                </a:solidFill>
                <a:prstDash val="solid"/>
              </a:ln>
            </c:spPr>
          </c:marker>
          <c:xVal>
            <c:numRef>
              <c:f>ln12rpsxBYE!$A$13:$A$61</c:f>
              <c:numCache>
                <c:formatCode>General</c:formatCode>
                <c:ptCount val="49"/>
                <c:pt idx="0">
                  <c:v>1962</c:v>
                </c:pt>
                <c:pt idx="1">
                  <c:v>1963</c:v>
                </c:pt>
                <c:pt idx="2">
                  <c:v>1964</c:v>
                </c:pt>
                <c:pt idx="3">
                  <c:v>1965</c:v>
                </c:pt>
                <c:pt idx="4">
                  <c:v>1966</c:v>
                </c:pt>
                <c:pt idx="5">
                  <c:v>1967</c:v>
                </c:pt>
                <c:pt idx="6">
                  <c:v>1968</c:v>
                </c:pt>
                <c:pt idx="7">
                  <c:v>1969</c:v>
                </c:pt>
                <c:pt idx="8">
                  <c:v>1970</c:v>
                </c:pt>
                <c:pt idx="9">
                  <c:v>1971</c:v>
                </c:pt>
                <c:pt idx="10">
                  <c:v>1972</c:v>
                </c:pt>
                <c:pt idx="11">
                  <c:v>1973</c:v>
                </c:pt>
                <c:pt idx="12">
                  <c:v>1974</c:v>
                </c:pt>
                <c:pt idx="13">
                  <c:v>1975</c:v>
                </c:pt>
                <c:pt idx="14">
                  <c:v>1976</c:v>
                </c:pt>
                <c:pt idx="15">
                  <c:v>1977</c:v>
                </c:pt>
                <c:pt idx="16">
                  <c:v>1978</c:v>
                </c:pt>
                <c:pt idx="17">
                  <c:v>1979</c:v>
                </c:pt>
                <c:pt idx="18">
                  <c:v>1980</c:v>
                </c:pt>
                <c:pt idx="19">
                  <c:v>1981</c:v>
                </c:pt>
                <c:pt idx="20">
                  <c:v>1982</c:v>
                </c:pt>
                <c:pt idx="21">
                  <c:v>1983</c:v>
                </c:pt>
                <c:pt idx="22">
                  <c:v>1984</c:v>
                </c:pt>
                <c:pt idx="23">
                  <c:v>1985</c:v>
                </c:pt>
                <c:pt idx="24">
                  <c:v>1986</c:v>
                </c:pt>
                <c:pt idx="25">
                  <c:v>1987</c:v>
                </c:pt>
                <c:pt idx="26">
                  <c:v>1988</c:v>
                </c:pt>
                <c:pt idx="27">
                  <c:v>1989</c:v>
                </c:pt>
                <c:pt idx="28">
                  <c:v>1990</c:v>
                </c:pt>
                <c:pt idx="29">
                  <c:v>1991</c:v>
                </c:pt>
                <c:pt idx="30">
                  <c:v>1992</c:v>
                </c:pt>
                <c:pt idx="31">
                  <c:v>1993</c:v>
                </c:pt>
                <c:pt idx="32">
                  <c:v>1994</c:v>
                </c:pt>
                <c:pt idx="33">
                  <c:v>1995</c:v>
                </c:pt>
                <c:pt idx="34">
                  <c:v>1996</c:v>
                </c:pt>
                <c:pt idx="35">
                  <c:v>1997</c:v>
                </c:pt>
                <c:pt idx="36">
                  <c:v>1998</c:v>
                </c:pt>
                <c:pt idx="37">
                  <c:v>1999</c:v>
                </c:pt>
                <c:pt idx="38">
                  <c:v>2000</c:v>
                </c:pt>
                <c:pt idx="39">
                  <c:v>2001</c:v>
                </c:pt>
                <c:pt idx="40">
                  <c:v>2002</c:v>
                </c:pt>
                <c:pt idx="41">
                  <c:v>2003</c:v>
                </c:pt>
                <c:pt idx="42">
                  <c:v>2004</c:v>
                </c:pt>
                <c:pt idx="43">
                  <c:v>2005</c:v>
                </c:pt>
                <c:pt idx="44">
                  <c:v>2006</c:v>
                </c:pt>
                <c:pt idx="45">
                  <c:v>2007</c:v>
                </c:pt>
                <c:pt idx="46">
                  <c:v>2008</c:v>
                </c:pt>
                <c:pt idx="47">
                  <c:v>2009</c:v>
                </c:pt>
                <c:pt idx="48">
                  <c:v>2010</c:v>
                </c:pt>
              </c:numCache>
            </c:numRef>
          </c:xVal>
          <c:yVal>
            <c:numRef>
              <c:f>ln12rpsxBYE!$B$69:$B$98</c:f>
              <c:numCache>
                <c:formatCode>0.00_)</c:formatCode>
                <c:ptCount val="30"/>
                <c:pt idx="0">
                  <c:v>-0.14748066712177854</c:v>
                </c:pt>
                <c:pt idx="1">
                  <c:v>-0.5250502062037401</c:v>
                </c:pt>
                <c:pt idx="2">
                  <c:v>-0.19263954674245137</c:v>
                </c:pt>
                <c:pt idx="3">
                  <c:v>0.61586620617309551</c:v>
                </c:pt>
                <c:pt idx="4">
                  <c:v>0.42419812653997019</c:v>
                </c:pt>
                <c:pt idx="5">
                  <c:v>0.5993178485441405</c:v>
                </c:pt>
                <c:pt idx="6">
                  <c:v>0.6687063645985688</c:v>
                </c:pt>
                <c:pt idx="7">
                  <c:v>0.80916433972039736</c:v>
                </c:pt>
                <c:pt idx="8">
                  <c:v>0.44726292776751997</c:v>
                </c:pt>
                <c:pt idx="9">
                  <c:v>0.88028232947853202</c:v>
                </c:pt>
                <c:pt idx="10">
                  <c:v>0.39034665685524922</c:v>
                </c:pt>
                <c:pt idx="11">
                  <c:v>0.72874752737913595</c:v>
                </c:pt>
                <c:pt idx="12">
                  <c:v>0.31433526747721297</c:v>
                </c:pt>
                <c:pt idx="13">
                  <c:v>0.46656018082221024</c:v>
                </c:pt>
                <c:pt idx="14">
                  <c:v>-0.42092068435920632</c:v>
                </c:pt>
                <c:pt idx="15">
                  <c:v>-0.36766195702943449</c:v>
                </c:pt>
                <c:pt idx="16">
                  <c:v>0.19693950332418239</c:v>
                </c:pt>
                <c:pt idx="17">
                  <c:v>0.37998335527298865</c:v>
                </c:pt>
                <c:pt idx="18">
                  <c:v>-0.15332212598832831</c:v>
                </c:pt>
                <c:pt idx="19">
                  <c:v>0.55047324958821098</c:v>
                </c:pt>
                <c:pt idx="20">
                  <c:v>-0.16263272638493753</c:v>
                </c:pt>
                <c:pt idx="21">
                  <c:v>4.9780613708709169E-2</c:v>
                </c:pt>
                <c:pt idx="22">
                  <c:v>-0.11970962472226872</c:v>
                </c:pt>
                <c:pt idx="23">
                  <c:v>9.2670995541621226E-2</c:v>
                </c:pt>
                <c:pt idx="24">
                  <c:v>6.0770121653813049E-2</c:v>
                </c:pt>
                <c:pt idx="25">
                  <c:v>1.3577506465818529E-2</c:v>
                </c:pt>
                <c:pt idx="26">
                  <c:v>0.1681518616446207</c:v>
                </c:pt>
                <c:pt idx="27">
                  <c:v>-0.75146825045710008</c:v>
                </c:pt>
                <c:pt idx="28">
                  <c:v>-0.99493857572118383</c:v>
                </c:pt>
                <c:pt idx="29">
                  <c:v>2.3288889247864826E-2</c:v>
                </c:pt>
              </c:numCache>
            </c:numRef>
          </c:yVal>
          <c:smooth val="0"/>
        </c:ser>
        <c:dLbls>
          <c:showLegendKey val="0"/>
          <c:showVal val="0"/>
          <c:showCatName val="0"/>
          <c:showSerName val="0"/>
          <c:showPercent val="0"/>
          <c:showBubbleSize val="0"/>
        </c:dLbls>
        <c:axId val="356614528"/>
        <c:axId val="356616832"/>
      </c:scatterChart>
      <c:valAx>
        <c:axId val="356614528"/>
        <c:scaling>
          <c:orientation val="minMax"/>
        </c:scaling>
        <c:delete val="0"/>
        <c:axPos val="b"/>
        <c:title>
          <c:tx>
            <c:rich>
              <a:bodyPr/>
              <a:lstStyle/>
              <a:p>
                <a:pPr>
                  <a:defRPr sz="1000" b="0" i="0" u="none" strike="noStrike" baseline="0">
                    <a:solidFill>
                      <a:srgbClr val="000000"/>
                    </a:solidFill>
                    <a:latin typeface="SWISS"/>
                    <a:ea typeface="SWISS"/>
                    <a:cs typeface="SWISS"/>
                  </a:defRPr>
                </a:pPr>
                <a:r>
                  <a:rPr lang="en-US"/>
                  <a:t>Brood Year</a:t>
                </a:r>
              </a:p>
            </c:rich>
          </c:tx>
          <c:layout>
            <c:manualLayout>
              <c:xMode val="edge"/>
              <c:yMode val="edge"/>
              <c:x val="0.49876345338489836"/>
              <c:y val="0.87915936952714535"/>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SWISS"/>
                <a:ea typeface="SWISS"/>
                <a:cs typeface="SWISS"/>
              </a:defRPr>
            </a:pPr>
            <a:endParaRPr lang="en-US"/>
          </a:p>
        </c:txPr>
        <c:crossAx val="356616832"/>
        <c:crosses val="autoZero"/>
        <c:crossBetween val="midCat"/>
      </c:valAx>
      <c:valAx>
        <c:axId val="356616832"/>
        <c:scaling>
          <c:orientation val="minMax"/>
        </c:scaling>
        <c:delete val="0"/>
        <c:axPos val="l"/>
        <c:title>
          <c:tx>
            <c:rich>
              <a:bodyPr/>
              <a:lstStyle/>
              <a:p>
                <a:pPr>
                  <a:defRPr sz="1000" b="0" i="0" u="none" strike="noStrike" baseline="0">
                    <a:solidFill>
                      <a:srgbClr val="000000"/>
                    </a:solidFill>
                    <a:latin typeface="SWISS"/>
                    <a:ea typeface="SWISS"/>
                    <a:cs typeface="SWISS"/>
                  </a:defRPr>
                </a:pPr>
                <a:r>
                  <a:rPr lang="en-US"/>
                  <a:t>Percent Error</a:t>
                </a:r>
              </a:p>
            </c:rich>
          </c:tx>
          <c:layout>
            <c:manualLayout>
              <c:xMode val="edge"/>
              <c:yMode val="edge"/>
              <c:x val="2.3750640637375951E-2"/>
              <c:y val="0.41856392294220918"/>
            </c:manualLayout>
          </c:layout>
          <c:overlay val="0"/>
          <c:spPr>
            <a:noFill/>
            <a:ln w="25400">
              <a:noFill/>
            </a:ln>
          </c:spPr>
        </c:title>
        <c:numFmt formatCode="0.0%"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SWISS"/>
                <a:ea typeface="SWISS"/>
                <a:cs typeface="SWISS"/>
              </a:defRPr>
            </a:pPr>
            <a:endParaRPr lang="en-US"/>
          </a:p>
        </c:txPr>
        <c:crossAx val="356614528"/>
        <c:crosses val="autoZero"/>
        <c:crossBetween val="midCat"/>
      </c:valAx>
      <c:spPr>
        <a:solidFill>
          <a:srgbClr val="FFFFFF"/>
        </a:solidFill>
        <a:ln w="12700">
          <a:solidFill>
            <a:srgbClr val="000000"/>
          </a:solidFill>
          <a:prstDash val="solid"/>
        </a:ln>
      </c:spPr>
    </c:plotArea>
    <c:legend>
      <c:legendPos val="b"/>
      <c:layout>
        <c:manualLayout>
          <c:xMode val="edge"/>
          <c:yMode val="edge"/>
          <c:x val="0.24047523645343352"/>
          <c:y val="0.94045534150612953"/>
          <c:w val="0.61900107161161488"/>
          <c:h val="4.7285464098073784E-2"/>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1100" b="0" i="0" u="none" strike="noStrike" baseline="0">
              <a:solidFill>
                <a:srgbClr val="000000"/>
              </a:solidFill>
              <a:latin typeface="SWISS"/>
              <a:ea typeface="SWISS"/>
              <a:cs typeface="SWISS"/>
            </a:defRPr>
          </a:pPr>
          <a:endParaRPr lang="en-US"/>
        </a:p>
      </c:txPr>
    </c:legend>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LN R/S AGE 1.2 FROM BYE</a:t>
            </a:r>
          </a:p>
        </c:rich>
      </c:tx>
      <c:layout>
        <c:manualLayout>
          <c:xMode val="edge"/>
          <c:yMode val="edge"/>
          <c:x val="0.16180123934212498"/>
          <c:y val="1.649351523367288E-2"/>
        </c:manualLayout>
      </c:layout>
      <c:overlay val="0"/>
      <c:spPr>
        <a:solidFill>
          <a:srgbClr val="FFFFFF"/>
        </a:solidFill>
        <a:ln w="12700">
          <a:solidFill>
            <a:srgbClr val="000000"/>
          </a:solidFill>
          <a:prstDash val="solid"/>
        </a:ln>
        <a:effectLst>
          <a:outerShdw dist="35921" dir="2700000" algn="br">
            <a:srgbClr val="000000"/>
          </a:outerShdw>
        </a:effectLst>
      </c:spPr>
    </c:title>
    <c:autoTitleDeleted val="0"/>
    <c:plotArea>
      <c:layout>
        <c:manualLayout>
          <c:layoutTarget val="inner"/>
          <c:xMode val="edge"/>
          <c:yMode val="edge"/>
          <c:x val="0.13805060347851683"/>
          <c:y val="0.15394031806028513"/>
          <c:w val="0.79713090395660358"/>
          <c:h val="0.70006192260748368"/>
        </c:manualLayout>
      </c:layout>
      <c:scatterChart>
        <c:scatterStyle val="lineMarker"/>
        <c:varyColors val="0"/>
        <c:ser>
          <c:idx val="0"/>
          <c:order val="0"/>
          <c:tx>
            <c:v>ACTUAL</c:v>
          </c:tx>
          <c:spPr>
            <a:ln w="28575">
              <a:noFill/>
            </a:ln>
          </c:spPr>
          <c:marker>
            <c:symbol val="triangle"/>
            <c:size val="5"/>
            <c:spPr>
              <a:solidFill>
                <a:srgbClr val="00FF00"/>
              </a:solidFill>
              <a:ln>
                <a:solidFill>
                  <a:srgbClr val="000000"/>
                </a:solidFill>
                <a:prstDash val="solid"/>
              </a:ln>
            </c:spPr>
          </c:marker>
          <c:dLbls>
            <c:dLbl>
              <c:idx val="0"/>
              <c:tx>
                <c:strRef>
                  <c:f>ln12rpsxBYE!$AC$13</c:f>
                  <c:strCache>
                    <c:ptCount val="1"/>
                    <c:pt idx="0">
                      <c:v>66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
              <c:tx>
                <c:strRef>
                  <c:f>ln12rpsxBYE!$AC$14</c:f>
                  <c:strCache>
                    <c:ptCount val="1"/>
                    <c:pt idx="0">
                      <c:v>67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
              <c:tx>
                <c:strRef>
                  <c:f>ln12rpsxBYE!$AC$15</c:f>
                  <c:strCache>
                    <c:ptCount val="1"/>
                    <c:pt idx="0">
                      <c:v>68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3"/>
              <c:tx>
                <c:strRef>
                  <c:f>ln12rpsxBYE!$AC$16</c:f>
                  <c:strCache>
                    <c:ptCount val="1"/>
                    <c:pt idx="0">
                      <c:v>69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4"/>
              <c:tx>
                <c:strRef>
                  <c:f>ln12rpsxBYE!$AC$17</c:f>
                  <c:strCache>
                    <c:ptCount val="1"/>
                    <c:pt idx="0">
                      <c:v>70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5"/>
              <c:tx>
                <c:strRef>
                  <c:f>ln12rpsxBYE!$AC$18</c:f>
                  <c:strCache>
                    <c:ptCount val="1"/>
                    <c:pt idx="0">
                      <c:v>71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6"/>
              <c:tx>
                <c:strRef>
                  <c:f>ln12rpsxBYE!$AC$19</c:f>
                  <c:strCache>
                    <c:ptCount val="1"/>
                    <c:pt idx="0">
                      <c:v>72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7"/>
              <c:tx>
                <c:strRef>
                  <c:f>ln12rpsxBYE!$AC$20</c:f>
                  <c:strCache>
                    <c:ptCount val="1"/>
                    <c:pt idx="0">
                      <c:v>73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8"/>
              <c:tx>
                <c:strRef>
                  <c:f>ln12rpsxBYE!$AC$21</c:f>
                  <c:strCache>
                    <c:ptCount val="1"/>
                    <c:pt idx="0">
                      <c:v>74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9"/>
              <c:tx>
                <c:strRef>
                  <c:f>ln12rpsxBYE!$AC$22</c:f>
                  <c:strCache>
                    <c:ptCount val="1"/>
                    <c:pt idx="0">
                      <c:v>75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0"/>
              <c:tx>
                <c:strRef>
                  <c:f>ln12rpsxBYE!$AC$23</c:f>
                  <c:strCache>
                    <c:ptCount val="1"/>
                    <c:pt idx="0">
                      <c:v>76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1"/>
              <c:tx>
                <c:strRef>
                  <c:f>ln12rpsxBYE!$AC$24</c:f>
                  <c:strCache>
                    <c:ptCount val="1"/>
                    <c:pt idx="0">
                      <c:v>77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2"/>
              <c:tx>
                <c:strRef>
                  <c:f>ln12rpsxBYE!$AC$25</c:f>
                  <c:strCache>
                    <c:ptCount val="1"/>
                    <c:pt idx="0">
                      <c:v>78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3"/>
              <c:tx>
                <c:strRef>
                  <c:f>ln12rpsxBYE!$AC$26</c:f>
                  <c:strCache>
                    <c:ptCount val="1"/>
                    <c:pt idx="0">
                      <c:v>79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4"/>
              <c:tx>
                <c:strRef>
                  <c:f>ln12rpsxBYE!$AC$27</c:f>
                  <c:strCache>
                    <c:ptCount val="1"/>
                    <c:pt idx="0">
                      <c:v>80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5"/>
              <c:tx>
                <c:strRef>
                  <c:f>ln12rpsxBYE!$AC$28</c:f>
                  <c:strCache>
                    <c:ptCount val="1"/>
                    <c:pt idx="0">
                      <c:v>81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6"/>
              <c:tx>
                <c:strRef>
                  <c:f>ln12rpsxBYE!$AC$29</c:f>
                  <c:strCache>
                    <c:ptCount val="1"/>
                    <c:pt idx="0">
                      <c:v>82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7"/>
              <c:tx>
                <c:strRef>
                  <c:f>ln12rpsxBYE!$AC$30</c:f>
                  <c:strCache>
                    <c:ptCount val="1"/>
                    <c:pt idx="0">
                      <c:v>83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8"/>
              <c:tx>
                <c:strRef>
                  <c:f>ln12rpsxBYE!$AC$31</c:f>
                  <c:strCache>
                    <c:ptCount val="1"/>
                    <c:pt idx="0">
                      <c:v>84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9"/>
              <c:tx>
                <c:strRef>
                  <c:f>ln12rpsxBYE!$AC$32</c:f>
                  <c:strCache>
                    <c:ptCount val="1"/>
                    <c:pt idx="0">
                      <c:v>85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0"/>
              <c:tx>
                <c:strRef>
                  <c:f>ln12rpsxBYE!$AC$33</c:f>
                  <c:strCache>
                    <c:ptCount val="1"/>
                    <c:pt idx="0">
                      <c:v>86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1"/>
              <c:tx>
                <c:strRef>
                  <c:f>ln12rpsxBYE!$AC$34</c:f>
                  <c:strCache>
                    <c:ptCount val="1"/>
                    <c:pt idx="0">
                      <c:v>87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2"/>
              <c:tx>
                <c:strRef>
                  <c:f>ln12rpsxBYE!$AC$35</c:f>
                  <c:strCache>
                    <c:ptCount val="1"/>
                    <c:pt idx="0">
                      <c:v>88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3"/>
              <c:tx>
                <c:strRef>
                  <c:f>ln12rpsxBYE!$AC$36</c:f>
                  <c:strCache>
                    <c:ptCount val="1"/>
                    <c:pt idx="0">
                      <c:v>89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4"/>
              <c:tx>
                <c:strRef>
                  <c:f>ln12rpsxBYE!$AC$37</c:f>
                  <c:strCache>
                    <c:ptCount val="1"/>
                    <c:pt idx="0">
                      <c:v>90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5"/>
              <c:tx>
                <c:strRef>
                  <c:f>ln12rpsxBYE!$AC$38</c:f>
                  <c:strCache>
                    <c:ptCount val="1"/>
                    <c:pt idx="0">
                      <c:v>91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6"/>
              <c:tx>
                <c:strRef>
                  <c:f>ln12rpsxBYE!$AC$39</c:f>
                  <c:strCache>
                    <c:ptCount val="1"/>
                    <c:pt idx="0">
                      <c:v>92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7"/>
              <c:tx>
                <c:strRef>
                  <c:f>ln12rpsxBYE!$AC$40</c:f>
                  <c:strCache>
                    <c:ptCount val="1"/>
                    <c:pt idx="0">
                      <c:v>93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8"/>
              <c:tx>
                <c:strRef>
                  <c:f>ln12rpsxBYE!$AC$41</c:f>
                  <c:strCache>
                    <c:ptCount val="1"/>
                    <c:pt idx="0">
                      <c:v>94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9"/>
              <c:tx>
                <c:strRef>
                  <c:f>ln12rpsxBYE!$AC$42</c:f>
                  <c:strCache>
                    <c:ptCount val="1"/>
                    <c:pt idx="0">
                      <c:v>95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30"/>
              <c:tx>
                <c:strRef>
                  <c:f>ln12rpsxBYE!$AC$43</c:f>
                  <c:strCache>
                    <c:ptCount val="1"/>
                    <c:pt idx="0">
                      <c:v>96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31"/>
              <c:tx>
                <c:strRef>
                  <c:f>ln12rpsxBYE!$AC$44</c:f>
                  <c:strCache>
                    <c:ptCount val="1"/>
                    <c:pt idx="0">
                      <c:v>97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32"/>
              <c:tx>
                <c:strRef>
                  <c:f>ln12rpsxBYE!$AC$61</c:f>
                  <c:strCache>
                    <c:ptCount val="1"/>
                    <c:pt idx="0">
                      <c:v>09</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showLegendKey val="0"/>
            <c:showVal val="0"/>
            <c:showCatName val="0"/>
            <c:showSerName val="0"/>
            <c:showPercent val="0"/>
            <c:showBubbleSize val="0"/>
          </c:dLbls>
          <c:trendline>
            <c:spPr>
              <a:ln w="25400">
                <a:solidFill>
                  <a:srgbClr val="000000"/>
                </a:solidFill>
                <a:prstDash val="solid"/>
              </a:ln>
            </c:spPr>
            <c:trendlineType val="linear"/>
            <c:dispRSqr val="1"/>
            <c:dispEq val="1"/>
            <c:trendlineLbl>
              <c:layout>
                <c:manualLayout>
                  <c:x val="-0.46016310165055507"/>
                  <c:y val="9.1203575518470664E-2"/>
                </c:manualLayout>
              </c:layout>
              <c:numFmt formatCode="General" sourceLinked="0"/>
              <c:spPr>
                <a:noFill/>
                <a:ln w="25400">
                  <a:noFill/>
                </a:ln>
              </c:spPr>
              <c:txPr>
                <a:bodyPr/>
                <a:lstStyle/>
                <a:p>
                  <a:pPr>
                    <a:defRPr sz="1200" b="0" i="0" u="none" strike="noStrike" baseline="0">
                      <a:solidFill>
                        <a:srgbClr val="000000"/>
                      </a:solidFill>
                      <a:latin typeface="Times New Roman"/>
                      <a:ea typeface="Times New Roman"/>
                      <a:cs typeface="Times New Roman"/>
                    </a:defRPr>
                  </a:pPr>
                  <a:endParaRPr lang="en-US"/>
                </a:p>
              </c:txPr>
            </c:trendlineLbl>
          </c:trendline>
          <c:xVal>
            <c:numRef>
              <c:f>ln12rpsxBYE!$Z$13:$Z$63</c:f>
              <c:numCache>
                <c:formatCode>General</c:formatCode>
                <c:ptCount val="51"/>
                <c:pt idx="0">
                  <c:v>416093.18072477408</c:v>
                </c:pt>
                <c:pt idx="1">
                  <c:v>271007.35305366298</c:v>
                </c:pt>
                <c:pt idx="2">
                  <c:v>233990.19926972012</c:v>
                </c:pt>
                <c:pt idx="3">
                  <c:v>373563.22002911044</c:v>
                </c:pt>
                <c:pt idx="4">
                  <c:v>374673.10456808144</c:v>
                </c:pt>
                <c:pt idx="5">
                  <c:v>152518.20574374442</c:v>
                </c:pt>
                <c:pt idx="6">
                  <c:v>234701.76831870052</c:v>
                </c:pt>
                <c:pt idx="7">
                  <c:v>527822.37255732983</c:v>
                </c:pt>
                <c:pt idx="8">
                  <c:v>329729.48946597357</c:v>
                </c:pt>
                <c:pt idx="9">
                  <c:v>585402.09872581216</c:v>
                </c:pt>
                <c:pt idx="10">
                  <c:v>408348.74565424217</c:v>
                </c:pt>
                <c:pt idx="11">
                  <c:v>432244.89386258059</c:v>
                </c:pt>
                <c:pt idx="12">
                  <c:v>209834.48285271373</c:v>
                </c:pt>
                <c:pt idx="13">
                  <c:v>172586.43317981472</c:v>
                </c:pt>
                <c:pt idx="14">
                  <c:v>248496.46908689401</c:v>
                </c:pt>
                <c:pt idx="15">
                  <c:v>357096.4249518197</c:v>
                </c:pt>
                <c:pt idx="16">
                  <c:v>234393.70547443983</c:v>
                </c:pt>
                <c:pt idx="17">
                  <c:v>507703.14743589744</c:v>
                </c:pt>
                <c:pt idx="18">
                  <c:v>609245.6797237664</c:v>
                </c:pt>
                <c:pt idx="19">
                  <c:v>779344.03185492684</c:v>
                </c:pt>
                <c:pt idx="20">
                  <c:v>609259.17976030742</c:v>
                </c:pt>
                <c:pt idx="21">
                  <c:v>689904.86811018642</c:v>
                </c:pt>
                <c:pt idx="22">
                  <c:v>837471.73615241167</c:v>
                </c:pt>
                <c:pt idx="23">
                  <c:v>644071.2163551402</c:v>
                </c:pt>
                <c:pt idx="24">
                  <c:v>512181.00557456672</c:v>
                </c:pt>
                <c:pt idx="25">
                  <c:v>505998.99389258347</c:v>
                </c:pt>
                <c:pt idx="26">
                  <c:v>495779.97595582763</c:v>
                </c:pt>
                <c:pt idx="27">
                  <c:v>581067.37842492911</c:v>
                </c:pt>
                <c:pt idx="28">
                  <c:v>619668.01983819774</c:v>
                </c:pt>
                <c:pt idx="29">
                  <c:v>567389.92208594619</c:v>
                </c:pt>
                <c:pt idx="30">
                  <c:v>558331.04056437232</c:v>
                </c:pt>
                <c:pt idx="31">
                  <c:v>652721.10807092034</c:v>
                </c:pt>
                <c:pt idx="32">
                  <c:v>614989.28339619539</c:v>
                </c:pt>
                <c:pt idx="33">
                  <c:v>528715.42146727804</c:v>
                </c:pt>
                <c:pt idx="34">
                  <c:v>674836.32951188635</c:v>
                </c:pt>
                <c:pt idx="35">
                  <c:v>900332.70692073856</c:v>
                </c:pt>
                <c:pt idx="36">
                  <c:v>635380.79722662957</c:v>
                </c:pt>
                <c:pt idx="37">
                  <c:v>648887</c:v>
                </c:pt>
                <c:pt idx="38">
                  <c:v>537592</c:v>
                </c:pt>
                <c:pt idx="39">
                  <c:v>680513</c:v>
                </c:pt>
                <c:pt idx="40">
                  <c:v>732389</c:v>
                </c:pt>
                <c:pt idx="41">
                  <c:v>653564</c:v>
                </c:pt>
                <c:pt idx="42">
                  <c:v>586352</c:v>
                </c:pt>
                <c:pt idx="43">
                  <c:v>631646.30056050722</c:v>
                </c:pt>
                <c:pt idx="44">
                  <c:v>777081</c:v>
                </c:pt>
                <c:pt idx="45">
                  <c:v>786913</c:v>
                </c:pt>
                <c:pt idx="46">
                  <c:v>615240</c:v>
                </c:pt>
                <c:pt idx="47">
                  <c:v>604964</c:v>
                </c:pt>
                <c:pt idx="48">
                  <c:v>668242</c:v>
                </c:pt>
                <c:pt idx="50" formatCode="#,##0_);\(#,##0\)">
                  <c:v>759798</c:v>
                </c:pt>
              </c:numCache>
            </c:numRef>
          </c:xVal>
          <c:yVal>
            <c:numRef>
              <c:f>ln12rpsxBYE!$AB$13:$AB$61</c:f>
              <c:numCache>
                <c:formatCode>General</c:formatCode>
                <c:ptCount val="49"/>
                <c:pt idx="0">
                  <c:v>1966</c:v>
                </c:pt>
                <c:pt idx="1">
                  <c:v>-1.0213456183323786</c:v>
                </c:pt>
                <c:pt idx="2">
                  <c:v>0.21707604984903545</c:v>
                </c:pt>
                <c:pt idx="3">
                  <c:v>3.3726543449790529E-2</c:v>
                </c:pt>
                <c:pt idx="4">
                  <c:v>-0.21509850150529286</c:v>
                </c:pt>
                <c:pt idx="5">
                  <c:v>-0.44926187062264583</c:v>
                </c:pt>
                <c:pt idx="6">
                  <c:v>-0.47552081847182748</c:v>
                </c:pt>
                <c:pt idx="7">
                  <c:v>-1.6485601513558406</c:v>
                </c:pt>
                <c:pt idx="8">
                  <c:v>-1.3682363043712236</c:v>
                </c:pt>
                <c:pt idx="9">
                  <c:v>-2.493855132176392</c:v>
                </c:pt>
                <c:pt idx="10">
                  <c:v>-1.0702079597868799</c:v>
                </c:pt>
                <c:pt idx="11">
                  <c:v>-2.6568248995962747</c:v>
                </c:pt>
                <c:pt idx="12">
                  <c:v>-0.30639735044987015</c:v>
                </c:pt>
                <c:pt idx="13">
                  <c:v>-0.92081696552945402</c:v>
                </c:pt>
                <c:pt idx="14">
                  <c:v>-0.35800866947313981</c:v>
                </c:pt>
                <c:pt idx="15">
                  <c:v>-0.97162839572725168</c:v>
                </c:pt>
                <c:pt idx="16">
                  <c:v>0.42908929309575849</c:v>
                </c:pt>
                <c:pt idx="17">
                  <c:v>-0.38200777422510268</c:v>
                </c:pt>
                <c:pt idx="18">
                  <c:v>-1.0967603650082336</c:v>
                </c:pt>
                <c:pt idx="19">
                  <c:v>-1.6016750701452347</c:v>
                </c:pt>
                <c:pt idx="20">
                  <c:v>-0.73481071082104277</c:v>
                </c:pt>
                <c:pt idx="21">
                  <c:v>-1.8013271652593794</c:v>
                </c:pt>
                <c:pt idx="22">
                  <c:v>-1.0449140241751833</c:v>
                </c:pt>
                <c:pt idx="23">
                  <c:v>-0.98408522662261033</c:v>
                </c:pt>
                <c:pt idx="24">
                  <c:v>-0.59082223514462939</c:v>
                </c:pt>
                <c:pt idx="25">
                  <c:v>-0.78899837048709731</c:v>
                </c:pt>
                <c:pt idx="26">
                  <c:v>-0.73404078342823154</c:v>
                </c:pt>
                <c:pt idx="27">
                  <c:v>-0.84375077772585116</c:v>
                </c:pt>
                <c:pt idx="28">
                  <c:v>-1.0785027977153256</c:v>
                </c:pt>
                <c:pt idx="29">
                  <c:v>-0.24580585833532928</c:v>
                </c:pt>
                <c:pt idx="30">
                  <c:v>-9.9552322494724579E-2</c:v>
                </c:pt>
                <c:pt idx="31">
                  <c:v>-0.96992783964425766</c:v>
                </c:pt>
                <c:pt idx="32">
                  <c:v>-0.81776316795245418</c:v>
                </c:pt>
                <c:pt idx="33">
                  <c:v>-0.8799851659237713</c:v>
                </c:pt>
                <c:pt idx="34">
                  <c:v>-2.1796807403317255</c:v>
                </c:pt>
                <c:pt idx="35">
                  <c:v>-2.1911751878250509</c:v>
                </c:pt>
                <c:pt idx="36">
                  <c:v>-0.57076066043902107</c:v>
                </c:pt>
                <c:pt idx="37">
                  <c:v>-0.86878574832701283</c:v>
                </c:pt>
                <c:pt idx="38">
                  <c:v>-6.8919964375729878E-2</c:v>
                </c:pt>
                <c:pt idx="39">
                  <c:v>-0.96931044049721593</c:v>
                </c:pt>
                <c:pt idx="40">
                  <c:v>-0.60195918365478707</c:v>
                </c:pt>
                <c:pt idx="41">
                  <c:v>-1.5091751112617477</c:v>
                </c:pt>
                <c:pt idx="42">
                  <c:v>-1.7357930203512755</c:v>
                </c:pt>
                <c:pt idx="43">
                  <c:v>-0.5941889157186131</c:v>
                </c:pt>
                <c:pt idx="44">
                  <c:v>-0.63993494726531808</c:v>
                </c:pt>
                <c:pt idx="45">
                  <c:v>-0.57527786007198112</c:v>
                </c:pt>
                <c:pt idx="46">
                  <c:v>-0.29938090585539956</c:v>
                </c:pt>
                <c:pt idx="47">
                  <c:v>7.2931416026379176E-2</c:v>
                </c:pt>
                <c:pt idx="48">
                  <c:v>-1.0577161534513051</c:v>
                </c:pt>
              </c:numCache>
            </c:numRef>
          </c:yVal>
          <c:smooth val="0"/>
        </c:ser>
        <c:ser>
          <c:idx val="1"/>
          <c:order val="1"/>
          <c:spPr>
            <a:ln w="25400">
              <a:pattFill prst="pct75">
                <a:fgClr>
                  <a:srgbClr val="0000FF"/>
                </a:fgClr>
                <a:bgClr>
                  <a:srgbClr val="FFFFFF"/>
                </a:bgClr>
              </a:pattFill>
              <a:prstDash val="solid"/>
            </a:ln>
          </c:spPr>
          <c:marker>
            <c:symbol val="none"/>
          </c:marker>
          <c:xVal>
            <c:numRef>
              <c:f>ln12rpsxBYE!$Z$13:$Z$63</c:f>
              <c:numCache>
                <c:formatCode>General</c:formatCode>
                <c:ptCount val="51"/>
                <c:pt idx="0">
                  <c:v>416093.18072477408</c:v>
                </c:pt>
                <c:pt idx="1">
                  <c:v>271007.35305366298</c:v>
                </c:pt>
                <c:pt idx="2">
                  <c:v>233990.19926972012</c:v>
                </c:pt>
                <c:pt idx="3">
                  <c:v>373563.22002911044</c:v>
                </c:pt>
                <c:pt idx="4">
                  <c:v>374673.10456808144</c:v>
                </c:pt>
                <c:pt idx="5">
                  <c:v>152518.20574374442</c:v>
                </c:pt>
                <c:pt idx="6">
                  <c:v>234701.76831870052</c:v>
                </c:pt>
                <c:pt idx="7">
                  <c:v>527822.37255732983</c:v>
                </c:pt>
                <c:pt idx="8">
                  <c:v>329729.48946597357</c:v>
                </c:pt>
                <c:pt idx="9">
                  <c:v>585402.09872581216</c:v>
                </c:pt>
                <c:pt idx="10">
                  <c:v>408348.74565424217</c:v>
                </c:pt>
                <c:pt idx="11">
                  <c:v>432244.89386258059</c:v>
                </c:pt>
                <c:pt idx="12">
                  <c:v>209834.48285271373</c:v>
                </c:pt>
                <c:pt idx="13">
                  <c:v>172586.43317981472</c:v>
                </c:pt>
                <c:pt idx="14">
                  <c:v>248496.46908689401</c:v>
                </c:pt>
                <c:pt idx="15">
                  <c:v>357096.4249518197</c:v>
                </c:pt>
                <c:pt idx="16">
                  <c:v>234393.70547443983</c:v>
                </c:pt>
                <c:pt idx="17">
                  <c:v>507703.14743589744</c:v>
                </c:pt>
                <c:pt idx="18">
                  <c:v>609245.6797237664</c:v>
                </c:pt>
                <c:pt idx="19">
                  <c:v>779344.03185492684</c:v>
                </c:pt>
                <c:pt idx="20">
                  <c:v>609259.17976030742</c:v>
                </c:pt>
                <c:pt idx="21">
                  <c:v>689904.86811018642</c:v>
                </c:pt>
                <c:pt idx="22">
                  <c:v>837471.73615241167</c:v>
                </c:pt>
                <c:pt idx="23">
                  <c:v>644071.2163551402</c:v>
                </c:pt>
                <c:pt idx="24">
                  <c:v>512181.00557456672</c:v>
                </c:pt>
                <c:pt idx="25">
                  <c:v>505998.99389258347</c:v>
                </c:pt>
                <c:pt idx="26">
                  <c:v>495779.97595582763</c:v>
                </c:pt>
                <c:pt idx="27">
                  <c:v>581067.37842492911</c:v>
                </c:pt>
                <c:pt idx="28">
                  <c:v>619668.01983819774</c:v>
                </c:pt>
                <c:pt idx="29">
                  <c:v>567389.92208594619</c:v>
                </c:pt>
                <c:pt idx="30">
                  <c:v>558331.04056437232</c:v>
                </c:pt>
                <c:pt idx="31">
                  <c:v>652721.10807092034</c:v>
                </c:pt>
                <c:pt idx="32">
                  <c:v>614989.28339619539</c:v>
                </c:pt>
                <c:pt idx="33">
                  <c:v>528715.42146727804</c:v>
                </c:pt>
                <c:pt idx="34">
                  <c:v>674836.32951188635</c:v>
                </c:pt>
                <c:pt idx="35">
                  <c:v>900332.70692073856</c:v>
                </c:pt>
                <c:pt idx="36">
                  <c:v>635380.79722662957</c:v>
                </c:pt>
                <c:pt idx="37">
                  <c:v>648887</c:v>
                </c:pt>
                <c:pt idx="38">
                  <c:v>537592</c:v>
                </c:pt>
                <c:pt idx="39">
                  <c:v>680513</c:v>
                </c:pt>
                <c:pt idx="40">
                  <c:v>732389</c:v>
                </c:pt>
                <c:pt idx="41">
                  <c:v>653564</c:v>
                </c:pt>
                <c:pt idx="42">
                  <c:v>586352</c:v>
                </c:pt>
                <c:pt idx="43">
                  <c:v>631646.30056050722</c:v>
                </c:pt>
                <c:pt idx="44">
                  <c:v>777081</c:v>
                </c:pt>
                <c:pt idx="45">
                  <c:v>786913</c:v>
                </c:pt>
                <c:pt idx="46">
                  <c:v>615240</c:v>
                </c:pt>
                <c:pt idx="47">
                  <c:v>604964</c:v>
                </c:pt>
                <c:pt idx="48">
                  <c:v>668242</c:v>
                </c:pt>
                <c:pt idx="50" formatCode="#,##0_);\(#,##0\)">
                  <c:v>759798</c:v>
                </c:pt>
              </c:numCache>
            </c:numRef>
          </c:xVal>
          <c:yVal>
            <c:numRef>
              <c:f>ln12rpsxBYE!$AD$13:$AD$61</c:f>
              <c:numCache>
                <c:formatCode>General</c:formatCode>
                <c:ptCount val="49"/>
                <c:pt idx="0">
                  <c:v>-1.5764892834067159</c:v>
                </c:pt>
                <c:pt idx="1">
                  <c:v>-1.40328800456229</c:v>
                </c:pt>
                <c:pt idx="2">
                  <c:v>-1.3590974831483482</c:v>
                </c:pt>
                <c:pt idx="3">
                  <c:v>-1.5257176560194405</c:v>
                </c:pt>
                <c:pt idx="4">
                  <c:v>-1.5270426194883413</c:v>
                </c:pt>
                <c:pt idx="5">
                  <c:v>-1.2618374426935939</c:v>
                </c:pt>
                <c:pt idx="6">
                  <c:v>-1.3599469435763434</c:v>
                </c:pt>
                <c:pt idx="7">
                  <c:v>-1.7098699121027199</c:v>
                </c:pt>
                <c:pt idx="8">
                  <c:v>-1.4733896077743189</c:v>
                </c:pt>
                <c:pt idx="9">
                  <c:v>-1.7786077231486073</c:v>
                </c:pt>
                <c:pt idx="10">
                  <c:v>-1.5672440933032115</c:v>
                </c:pt>
                <c:pt idx="11">
                  <c:v>-1.5957709556134456</c:v>
                </c:pt>
                <c:pt idx="12">
                  <c:v>-1.3302607522147598</c:v>
                </c:pt>
                <c:pt idx="13">
                  <c:v>-1.285794590761477</c:v>
                </c:pt>
                <c:pt idx="14">
                  <c:v>-1.3764148498679449</c:v>
                </c:pt>
                <c:pt idx="15">
                  <c:v>-1.5060598437324879</c:v>
                </c:pt>
                <c:pt idx="16">
                  <c:v>-1.3595791827864243</c:v>
                </c:pt>
                <c:pt idx="17">
                  <c:v>-1.6858518837651055</c:v>
                </c:pt>
                <c:pt idx="18">
                  <c:v>-1.8070718315137457</c:v>
                </c:pt>
                <c:pt idx="19">
                  <c:v>-2.010132685846334</c:v>
                </c:pt>
                <c:pt idx="20">
                  <c:v>-1.8070879476543151</c:v>
                </c:pt>
                <c:pt idx="21">
                  <c:v>-1.9033615574182638</c:v>
                </c:pt>
                <c:pt idx="22">
                  <c:v>-2.0795246649405104</c:v>
                </c:pt>
                <c:pt idx="23">
                  <c:v>-1.8486460333349646</c:v>
                </c:pt>
                <c:pt idx="24">
                  <c:v>-1.6911974834597878</c:v>
                </c:pt>
                <c:pt idx="25">
                  <c:v>-1.6838174908971932</c:v>
                </c:pt>
                <c:pt idx="26">
                  <c:v>-1.6716181809880788</c:v>
                </c:pt>
                <c:pt idx="27">
                  <c:v>-1.7734329992517441</c:v>
                </c:pt>
                <c:pt idx="28">
                  <c:v>-1.8195138643804094</c:v>
                </c:pt>
                <c:pt idx="29">
                  <c:v>-1.7571050575962661</c:v>
                </c:pt>
                <c:pt idx="30">
                  <c:v>-1.7462907010900368</c:v>
                </c:pt>
                <c:pt idx="31">
                  <c:v>-1.8589721439626343</c:v>
                </c:pt>
                <c:pt idx="32">
                  <c:v>-1.8139284591886096</c:v>
                </c:pt>
                <c:pt idx="33">
                  <c:v>-1.710936020459108</c:v>
                </c:pt>
                <c:pt idx="34">
                  <c:v>-1.8853729626848179</c:v>
                </c:pt>
                <c:pt idx="35">
                  <c:v>-2.154567146354732</c:v>
                </c:pt>
                <c:pt idx="36">
                  <c:v>-1.8382715416915483</c:v>
                </c:pt>
                <c:pt idx="37">
                  <c:v>-1.8543950434162151</c:v>
                </c:pt>
                <c:pt idx="38">
                  <c:v>-1.7215327463992567</c:v>
                </c:pt>
                <c:pt idx="39">
                  <c:v>-1.8921496865309848</c:v>
                </c:pt>
                <c:pt idx="40">
                  <c:v>-1.9540784750664244</c:v>
                </c:pt>
                <c:pt idx="41">
                  <c:v>-1.8599783756696704</c:v>
                </c:pt>
                <c:pt idx="42">
                  <c:v>-1.7797417010023107</c:v>
                </c:pt>
                <c:pt idx="43">
                  <c:v>-1.8338133557419261</c:v>
                </c:pt>
                <c:pt idx="44">
                  <c:v>-2.0074311124560817</c:v>
                </c:pt>
                <c:pt idx="45">
                  <c:v>-2.0191684061734163</c:v>
                </c:pt>
                <c:pt idx="46">
                  <c:v>-1.8142277608992143</c:v>
                </c:pt>
                <c:pt idx="47">
                  <c:v>-1.8019604266600637</c:v>
                </c:pt>
                <c:pt idx="48">
                  <c:v>-1.8775007512985389</c:v>
                </c:pt>
              </c:numCache>
            </c:numRef>
          </c:yVal>
          <c:smooth val="0"/>
        </c:ser>
        <c:ser>
          <c:idx val="2"/>
          <c:order val="2"/>
          <c:spPr>
            <a:ln w="38100">
              <a:solidFill>
                <a:srgbClr val="FFFF00"/>
              </a:solidFill>
              <a:prstDash val="solid"/>
            </a:ln>
          </c:spPr>
          <c:marker>
            <c:symbol val="none"/>
          </c:marker>
          <c:xVal>
            <c:numRef>
              <c:f>ln12rpsxBYE!$Z$13:$Z$63</c:f>
              <c:numCache>
                <c:formatCode>General</c:formatCode>
                <c:ptCount val="51"/>
                <c:pt idx="0">
                  <c:v>416093.18072477408</c:v>
                </c:pt>
                <c:pt idx="1">
                  <c:v>271007.35305366298</c:v>
                </c:pt>
                <c:pt idx="2">
                  <c:v>233990.19926972012</c:v>
                </c:pt>
                <c:pt idx="3">
                  <c:v>373563.22002911044</c:v>
                </c:pt>
                <c:pt idx="4">
                  <c:v>374673.10456808144</c:v>
                </c:pt>
                <c:pt idx="5">
                  <c:v>152518.20574374442</c:v>
                </c:pt>
                <c:pt idx="6">
                  <c:v>234701.76831870052</c:v>
                </c:pt>
                <c:pt idx="7">
                  <c:v>527822.37255732983</c:v>
                </c:pt>
                <c:pt idx="8">
                  <c:v>329729.48946597357</c:v>
                </c:pt>
                <c:pt idx="9">
                  <c:v>585402.09872581216</c:v>
                </c:pt>
                <c:pt idx="10">
                  <c:v>408348.74565424217</c:v>
                </c:pt>
                <c:pt idx="11">
                  <c:v>432244.89386258059</c:v>
                </c:pt>
                <c:pt idx="12">
                  <c:v>209834.48285271373</c:v>
                </c:pt>
                <c:pt idx="13">
                  <c:v>172586.43317981472</c:v>
                </c:pt>
                <c:pt idx="14">
                  <c:v>248496.46908689401</c:v>
                </c:pt>
                <c:pt idx="15">
                  <c:v>357096.4249518197</c:v>
                </c:pt>
                <c:pt idx="16">
                  <c:v>234393.70547443983</c:v>
                </c:pt>
                <c:pt idx="17">
                  <c:v>507703.14743589744</c:v>
                </c:pt>
                <c:pt idx="18">
                  <c:v>609245.6797237664</c:v>
                </c:pt>
                <c:pt idx="19">
                  <c:v>779344.03185492684</c:v>
                </c:pt>
                <c:pt idx="20">
                  <c:v>609259.17976030742</c:v>
                </c:pt>
                <c:pt idx="21">
                  <c:v>689904.86811018642</c:v>
                </c:pt>
                <c:pt idx="22">
                  <c:v>837471.73615241167</c:v>
                </c:pt>
                <c:pt idx="23">
                  <c:v>644071.2163551402</c:v>
                </c:pt>
                <c:pt idx="24">
                  <c:v>512181.00557456672</c:v>
                </c:pt>
                <c:pt idx="25">
                  <c:v>505998.99389258347</c:v>
                </c:pt>
                <c:pt idx="26">
                  <c:v>495779.97595582763</c:v>
                </c:pt>
                <c:pt idx="27">
                  <c:v>581067.37842492911</c:v>
                </c:pt>
                <c:pt idx="28">
                  <c:v>619668.01983819774</c:v>
                </c:pt>
                <c:pt idx="29">
                  <c:v>567389.92208594619</c:v>
                </c:pt>
                <c:pt idx="30">
                  <c:v>558331.04056437232</c:v>
                </c:pt>
                <c:pt idx="31">
                  <c:v>652721.10807092034</c:v>
                </c:pt>
                <c:pt idx="32">
                  <c:v>614989.28339619539</c:v>
                </c:pt>
                <c:pt idx="33">
                  <c:v>528715.42146727804</c:v>
                </c:pt>
                <c:pt idx="34">
                  <c:v>674836.32951188635</c:v>
                </c:pt>
                <c:pt idx="35">
                  <c:v>900332.70692073856</c:v>
                </c:pt>
                <c:pt idx="36">
                  <c:v>635380.79722662957</c:v>
                </c:pt>
                <c:pt idx="37">
                  <c:v>648887</c:v>
                </c:pt>
                <c:pt idx="38">
                  <c:v>537592</c:v>
                </c:pt>
                <c:pt idx="39">
                  <c:v>680513</c:v>
                </c:pt>
                <c:pt idx="40">
                  <c:v>732389</c:v>
                </c:pt>
                <c:pt idx="41">
                  <c:v>653564</c:v>
                </c:pt>
                <c:pt idx="42">
                  <c:v>586352</c:v>
                </c:pt>
                <c:pt idx="43">
                  <c:v>631646.30056050722</c:v>
                </c:pt>
                <c:pt idx="44">
                  <c:v>777081</c:v>
                </c:pt>
                <c:pt idx="45">
                  <c:v>786913</c:v>
                </c:pt>
                <c:pt idx="46">
                  <c:v>615240</c:v>
                </c:pt>
                <c:pt idx="47">
                  <c:v>604964</c:v>
                </c:pt>
                <c:pt idx="48">
                  <c:v>668242</c:v>
                </c:pt>
                <c:pt idx="50" formatCode="#,##0_);\(#,##0\)">
                  <c:v>759798</c:v>
                </c:pt>
              </c:numCache>
            </c:numRef>
          </c:xVal>
          <c:yVal>
            <c:numRef>
              <c:f>ln12rpsxBYE!$AE$13:$AE$61</c:f>
              <c:numCache>
                <c:formatCode>General</c:formatCode>
                <c:ptCount val="49"/>
                <c:pt idx="0">
                  <c:v>0.13359647694969701</c:v>
                </c:pt>
                <c:pt idx="1">
                  <c:v>0.30679775579412294</c:v>
                </c:pt>
                <c:pt idx="2">
                  <c:v>0.35098827720806469</c:v>
                </c:pt>
                <c:pt idx="3">
                  <c:v>0.18436810433697248</c:v>
                </c:pt>
                <c:pt idx="4">
                  <c:v>0.18304314086807183</c:v>
                </c:pt>
                <c:pt idx="5">
                  <c:v>0.44824831766281914</c:v>
                </c:pt>
                <c:pt idx="6">
                  <c:v>0.35013881678006964</c:v>
                </c:pt>
                <c:pt idx="7">
                  <c:v>2.1584825369314053E-4</c:v>
                </c:pt>
                <c:pt idx="8">
                  <c:v>0.2366961525820942</c:v>
                </c:pt>
                <c:pt idx="9">
                  <c:v>-6.8521962792194135E-2</c:v>
                </c:pt>
                <c:pt idx="10">
                  <c:v>0.14284166705320167</c:v>
                </c:pt>
                <c:pt idx="11">
                  <c:v>0.11431480474296751</c:v>
                </c:pt>
                <c:pt idx="12">
                  <c:v>0.3798250081416531</c:v>
                </c:pt>
                <c:pt idx="13">
                  <c:v>0.42429116959493607</c:v>
                </c:pt>
                <c:pt idx="14">
                  <c:v>0.3336709104884682</c:v>
                </c:pt>
                <c:pt idx="15">
                  <c:v>0.204025916623925</c:v>
                </c:pt>
                <c:pt idx="16">
                  <c:v>0.35050657756998882</c:v>
                </c:pt>
                <c:pt idx="17">
                  <c:v>2.4233876591307602E-2</c:v>
                </c:pt>
                <c:pt idx="18">
                  <c:v>-9.6986071157332709E-2</c:v>
                </c:pt>
                <c:pt idx="19">
                  <c:v>-0.30004692548992107</c:v>
                </c:pt>
                <c:pt idx="20">
                  <c:v>-9.7002187297901998E-2</c:v>
                </c:pt>
                <c:pt idx="21">
                  <c:v>-0.19327579706185094</c:v>
                </c:pt>
                <c:pt idx="22">
                  <c:v>-0.36943890458409745</c:v>
                </c:pt>
                <c:pt idx="23">
                  <c:v>-0.13856027297855156</c:v>
                </c:pt>
                <c:pt idx="24">
                  <c:v>1.88882768966252E-2</c:v>
                </c:pt>
                <c:pt idx="25">
                  <c:v>2.6268269459219784E-2</c:v>
                </c:pt>
                <c:pt idx="26">
                  <c:v>3.8467579368334115E-2</c:v>
                </c:pt>
                <c:pt idx="27">
                  <c:v>-6.3347238895331226E-2</c:v>
                </c:pt>
                <c:pt idx="28">
                  <c:v>-0.10942810402399639</c:v>
                </c:pt>
                <c:pt idx="29">
                  <c:v>-4.7019297239853097E-2</c:v>
                </c:pt>
                <c:pt idx="30">
                  <c:v>-3.6204940733623903E-2</c:v>
                </c:pt>
                <c:pt idx="31">
                  <c:v>-0.14888638360622142</c:v>
                </c:pt>
                <c:pt idx="32">
                  <c:v>-0.10384269883219643</c:v>
                </c:pt>
                <c:pt idx="33">
                  <c:v>-8.502601026948442E-4</c:v>
                </c:pt>
                <c:pt idx="34">
                  <c:v>-0.175287202328405</c:v>
                </c:pt>
                <c:pt idx="35">
                  <c:v>-0.44448138599831888</c:v>
                </c:pt>
                <c:pt idx="36">
                  <c:v>-0.12818578133513514</c:v>
                </c:pt>
                <c:pt idx="37">
                  <c:v>-0.14430928305980206</c:v>
                </c:pt>
                <c:pt idx="38">
                  <c:v>-1.1446986042843665E-2</c:v>
                </c:pt>
                <c:pt idx="39">
                  <c:v>-0.1820639261745719</c:v>
                </c:pt>
                <c:pt idx="40">
                  <c:v>-0.24399271471001149</c:v>
                </c:pt>
                <c:pt idx="41">
                  <c:v>-0.14989261531325748</c:v>
                </c:pt>
                <c:pt idx="42">
                  <c:v>-6.965594064589764E-2</c:v>
                </c:pt>
                <c:pt idx="43">
                  <c:v>-0.12372759538551303</c:v>
                </c:pt>
                <c:pt idx="44">
                  <c:v>-0.29734535209966884</c:v>
                </c:pt>
                <c:pt idx="45">
                  <c:v>-0.30908264581700318</c:v>
                </c:pt>
                <c:pt idx="46">
                  <c:v>-0.10414200054280132</c:v>
                </c:pt>
                <c:pt idx="47">
                  <c:v>-9.1874666303650709E-2</c:v>
                </c:pt>
                <c:pt idx="48">
                  <c:v>-0.16741499094212597</c:v>
                </c:pt>
              </c:numCache>
            </c:numRef>
          </c:yVal>
          <c:smooth val="0"/>
        </c:ser>
        <c:ser>
          <c:idx val="3"/>
          <c:order val="3"/>
          <c:tx>
            <c:v>Forecast</c:v>
          </c:tx>
          <c:spPr>
            <a:ln w="25400">
              <a:pattFill prst="pct75">
                <a:fgClr>
                  <a:srgbClr val="00FF00"/>
                </a:fgClr>
                <a:bgClr>
                  <a:srgbClr val="FFFFFF"/>
                </a:bgClr>
              </a:pattFill>
              <a:prstDash val="solid"/>
            </a:ln>
          </c:spPr>
          <c:marker>
            <c:symbol val="square"/>
            <c:size val="10"/>
            <c:spPr>
              <a:solidFill>
                <a:srgbClr val="FF00FF"/>
              </a:solidFill>
              <a:ln>
                <a:solidFill>
                  <a:srgbClr val="000000"/>
                </a:solidFill>
                <a:prstDash val="solid"/>
              </a:ln>
            </c:spPr>
          </c:marker>
          <c:xVal>
            <c:numRef>
              <c:f>ln12rpsxBYE!$Z$13:$Z$63</c:f>
              <c:numCache>
                <c:formatCode>General</c:formatCode>
                <c:ptCount val="51"/>
                <c:pt idx="0">
                  <c:v>416093.18072477408</c:v>
                </c:pt>
                <c:pt idx="1">
                  <c:v>271007.35305366298</c:v>
                </c:pt>
                <c:pt idx="2">
                  <c:v>233990.19926972012</c:v>
                </c:pt>
                <c:pt idx="3">
                  <c:v>373563.22002911044</c:v>
                </c:pt>
                <c:pt idx="4">
                  <c:v>374673.10456808144</c:v>
                </c:pt>
                <c:pt idx="5">
                  <c:v>152518.20574374442</c:v>
                </c:pt>
                <c:pt idx="6">
                  <c:v>234701.76831870052</c:v>
                </c:pt>
                <c:pt idx="7">
                  <c:v>527822.37255732983</c:v>
                </c:pt>
                <c:pt idx="8">
                  <c:v>329729.48946597357</c:v>
                </c:pt>
                <c:pt idx="9">
                  <c:v>585402.09872581216</c:v>
                </c:pt>
                <c:pt idx="10">
                  <c:v>408348.74565424217</c:v>
                </c:pt>
                <c:pt idx="11">
                  <c:v>432244.89386258059</c:v>
                </c:pt>
                <c:pt idx="12">
                  <c:v>209834.48285271373</c:v>
                </c:pt>
                <c:pt idx="13">
                  <c:v>172586.43317981472</c:v>
                </c:pt>
                <c:pt idx="14">
                  <c:v>248496.46908689401</c:v>
                </c:pt>
                <c:pt idx="15">
                  <c:v>357096.4249518197</c:v>
                </c:pt>
                <c:pt idx="16">
                  <c:v>234393.70547443983</c:v>
                </c:pt>
                <c:pt idx="17">
                  <c:v>507703.14743589744</c:v>
                </c:pt>
                <c:pt idx="18">
                  <c:v>609245.6797237664</c:v>
                </c:pt>
                <c:pt idx="19">
                  <c:v>779344.03185492684</c:v>
                </c:pt>
                <c:pt idx="20">
                  <c:v>609259.17976030742</c:v>
                </c:pt>
                <c:pt idx="21">
                  <c:v>689904.86811018642</c:v>
                </c:pt>
                <c:pt idx="22">
                  <c:v>837471.73615241167</c:v>
                </c:pt>
                <c:pt idx="23">
                  <c:v>644071.2163551402</c:v>
                </c:pt>
                <c:pt idx="24">
                  <c:v>512181.00557456672</c:v>
                </c:pt>
                <c:pt idx="25">
                  <c:v>505998.99389258347</c:v>
                </c:pt>
                <c:pt idx="26">
                  <c:v>495779.97595582763</c:v>
                </c:pt>
                <c:pt idx="27">
                  <c:v>581067.37842492911</c:v>
                </c:pt>
                <c:pt idx="28">
                  <c:v>619668.01983819774</c:v>
                </c:pt>
                <c:pt idx="29">
                  <c:v>567389.92208594619</c:v>
                </c:pt>
                <c:pt idx="30">
                  <c:v>558331.04056437232</c:v>
                </c:pt>
                <c:pt idx="31">
                  <c:v>652721.10807092034</c:v>
                </c:pt>
                <c:pt idx="32">
                  <c:v>614989.28339619539</c:v>
                </c:pt>
                <c:pt idx="33">
                  <c:v>528715.42146727804</c:v>
                </c:pt>
                <c:pt idx="34">
                  <c:v>674836.32951188635</c:v>
                </c:pt>
                <c:pt idx="35">
                  <c:v>900332.70692073856</c:v>
                </c:pt>
                <c:pt idx="36">
                  <c:v>635380.79722662957</c:v>
                </c:pt>
                <c:pt idx="37">
                  <c:v>648887</c:v>
                </c:pt>
                <c:pt idx="38">
                  <c:v>537592</c:v>
                </c:pt>
                <c:pt idx="39">
                  <c:v>680513</c:v>
                </c:pt>
                <c:pt idx="40">
                  <c:v>732389</c:v>
                </c:pt>
                <c:pt idx="41">
                  <c:v>653564</c:v>
                </c:pt>
                <c:pt idx="42">
                  <c:v>586352</c:v>
                </c:pt>
                <c:pt idx="43">
                  <c:v>631646.30056050722</c:v>
                </c:pt>
                <c:pt idx="44">
                  <c:v>777081</c:v>
                </c:pt>
                <c:pt idx="45">
                  <c:v>786913</c:v>
                </c:pt>
                <c:pt idx="46">
                  <c:v>615240</c:v>
                </c:pt>
                <c:pt idx="47">
                  <c:v>604964</c:v>
                </c:pt>
                <c:pt idx="48">
                  <c:v>668242</c:v>
                </c:pt>
                <c:pt idx="50" formatCode="#,##0_);\(#,##0\)">
                  <c:v>759798</c:v>
                </c:pt>
              </c:numCache>
            </c:numRef>
          </c:xVal>
          <c:yVal>
            <c:numRef>
              <c:f>ln12rpsxBYE!$AF$13:$AF$63</c:f>
              <c:numCache>
                <c:formatCode>General</c:formatCode>
                <c:ptCount val="51"/>
                <c:pt idx="50">
                  <c:v>-1.1317560468306935</c:v>
                </c:pt>
              </c:numCache>
            </c:numRef>
          </c:yVal>
          <c:smooth val="0"/>
        </c:ser>
        <c:dLbls>
          <c:showLegendKey val="0"/>
          <c:showVal val="0"/>
          <c:showCatName val="0"/>
          <c:showSerName val="0"/>
          <c:showPercent val="0"/>
          <c:showBubbleSize val="0"/>
        </c:dLbls>
        <c:axId val="365854720"/>
        <c:axId val="365857024"/>
      </c:scatterChart>
      <c:valAx>
        <c:axId val="365854720"/>
        <c:scaling>
          <c:orientation val="minMax"/>
          <c:min val="100000"/>
        </c:scaling>
        <c:delete val="0"/>
        <c:axPos val="b"/>
        <c:title>
          <c:tx>
            <c:rich>
              <a:bodyPr/>
              <a:lstStyle/>
              <a:p>
                <a:pPr>
                  <a:defRPr sz="1000" b="0" i="0" u="none" strike="noStrike" baseline="0">
                    <a:solidFill>
                      <a:srgbClr val="000000"/>
                    </a:solidFill>
                    <a:latin typeface="Arial"/>
                    <a:ea typeface="Arial"/>
                    <a:cs typeface="Arial"/>
                  </a:defRPr>
                </a:pPr>
                <a:r>
                  <a:rPr lang="en-US"/>
                  <a:t>BROOD YEAR ESCAPEMENT</a:t>
                </a:r>
              </a:p>
            </c:rich>
          </c:tx>
          <c:layout>
            <c:manualLayout>
              <c:xMode val="edge"/>
              <c:yMode val="edge"/>
              <c:x val="0.39930764571588812"/>
              <c:y val="0.90898099276052025"/>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365857024"/>
        <c:crosses val="autoZero"/>
        <c:crossBetween val="midCat"/>
      </c:valAx>
      <c:valAx>
        <c:axId val="365857024"/>
        <c:scaling>
          <c:orientation val="minMax"/>
        </c:scaling>
        <c:delete val="0"/>
        <c:axPos val="l"/>
        <c:title>
          <c:tx>
            <c:rich>
              <a:bodyPr/>
              <a:lstStyle/>
              <a:p>
                <a:pPr>
                  <a:defRPr sz="1000" b="0" i="0" u="none" strike="noStrike" baseline="0">
                    <a:solidFill>
                      <a:srgbClr val="000000"/>
                    </a:solidFill>
                    <a:latin typeface="Arial"/>
                    <a:ea typeface="Arial"/>
                    <a:cs typeface="Arial"/>
                  </a:defRPr>
                </a:pPr>
                <a:r>
                  <a:rPr lang="en-US"/>
                  <a:t>LN R/S AGED 1.2</a:t>
                </a:r>
              </a:p>
            </c:rich>
          </c:tx>
          <c:layout>
            <c:manualLayout>
              <c:xMode val="edge"/>
              <c:yMode val="edge"/>
              <c:x val="4.4532451195079904E-2"/>
              <c:y val="0.40500956611192834"/>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365854720"/>
        <c:crosses val="autoZero"/>
        <c:crossBetween val="midCat"/>
      </c:valAx>
      <c:spPr>
        <a:solidFill>
          <a:srgbClr val="FFFFFF"/>
        </a:solidFill>
        <a:ln w="12700">
          <a:solidFill>
            <a:srgbClr val="000000"/>
          </a:solidFill>
          <a:prstDash val="solid"/>
        </a:ln>
      </c:spPr>
    </c:plotArea>
    <c:legend>
      <c:legendPos val="r"/>
      <c:legendEntry>
        <c:idx val="1"/>
        <c:delete val="1"/>
      </c:legendEntry>
      <c:legendEntry>
        <c:idx val="2"/>
        <c:delete val="1"/>
      </c:legendEntry>
      <c:layout>
        <c:manualLayout>
          <c:xMode val="edge"/>
          <c:yMode val="edge"/>
          <c:x val="0.59821926105390233"/>
          <c:y val="0.16310345822156838"/>
          <c:w val="0.23899082141359573"/>
          <c:h val="0.10445944256967893"/>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84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9525">
      <a:noFill/>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0" i="0" u="none" strike="noStrike" baseline="0">
                <a:solidFill>
                  <a:srgbClr val="000000"/>
                </a:solidFill>
                <a:latin typeface="SWISS"/>
                <a:ea typeface="SWISS"/>
                <a:cs typeface="SWISS"/>
              </a:defRPr>
            </a:pPr>
            <a:r>
              <a:rPr lang="en-US"/>
              <a:t>Forecast Model vs Actual</a:t>
            </a:r>
          </a:p>
        </c:rich>
      </c:tx>
      <c:layout>
        <c:manualLayout>
          <c:xMode val="edge"/>
          <c:yMode val="edge"/>
          <c:x val="0.2792938162729659"/>
          <c:y val="2.802099737532809E-2"/>
        </c:manualLayout>
      </c:layout>
      <c:overlay val="0"/>
      <c:spPr>
        <a:solidFill>
          <a:srgbClr val="FFFFFF"/>
        </a:solidFill>
        <a:ln w="12700">
          <a:solidFill>
            <a:srgbClr val="000000"/>
          </a:solidFill>
          <a:prstDash val="solid"/>
        </a:ln>
        <a:effectLst>
          <a:outerShdw dist="35921" dir="2700000" algn="br">
            <a:srgbClr val="000000"/>
          </a:outerShdw>
        </a:effectLst>
      </c:spPr>
    </c:title>
    <c:autoTitleDeleted val="0"/>
    <c:plotArea>
      <c:layout>
        <c:manualLayout>
          <c:layoutTarget val="inner"/>
          <c:xMode val="edge"/>
          <c:yMode val="edge"/>
          <c:x val="0.15569823434992175"/>
          <c:y val="0.1523642732049037"/>
          <c:w val="0.79614767255217356"/>
          <c:h val="0.67950963222418237"/>
        </c:manualLayout>
      </c:layout>
      <c:scatterChart>
        <c:scatterStyle val="lineMarker"/>
        <c:varyColors val="0"/>
        <c:ser>
          <c:idx val="0"/>
          <c:order val="0"/>
          <c:tx>
            <c:v>Ln12 x Ln11</c:v>
          </c:tx>
          <c:spPr>
            <a:ln w="3175">
              <a:solidFill>
                <a:srgbClr val="00FF00"/>
              </a:solidFill>
              <a:prstDash val="solid"/>
            </a:ln>
          </c:spPr>
          <c:marker>
            <c:symbol val="diamond"/>
            <c:size val="5"/>
            <c:spPr>
              <a:solidFill>
                <a:srgbClr val="00FF00"/>
              </a:solidFill>
              <a:ln>
                <a:solidFill>
                  <a:srgbClr val="000000"/>
                </a:solidFill>
                <a:prstDash val="solid"/>
              </a:ln>
            </c:spPr>
          </c:marker>
          <c:xVal>
            <c:numRef>
              <c:f>ln12rpsxBYE!$A$13:$A$61</c:f>
              <c:numCache>
                <c:formatCode>General</c:formatCode>
                <c:ptCount val="49"/>
                <c:pt idx="0">
                  <c:v>1962</c:v>
                </c:pt>
                <c:pt idx="1">
                  <c:v>1963</c:v>
                </c:pt>
                <c:pt idx="2">
                  <c:v>1964</c:v>
                </c:pt>
                <c:pt idx="3">
                  <c:v>1965</c:v>
                </c:pt>
                <c:pt idx="4">
                  <c:v>1966</c:v>
                </c:pt>
                <c:pt idx="5">
                  <c:v>1967</c:v>
                </c:pt>
                <c:pt idx="6">
                  <c:v>1968</c:v>
                </c:pt>
                <c:pt idx="7">
                  <c:v>1969</c:v>
                </c:pt>
                <c:pt idx="8">
                  <c:v>1970</c:v>
                </c:pt>
                <c:pt idx="9">
                  <c:v>1971</c:v>
                </c:pt>
                <c:pt idx="10">
                  <c:v>1972</c:v>
                </c:pt>
                <c:pt idx="11">
                  <c:v>1973</c:v>
                </c:pt>
                <c:pt idx="12">
                  <c:v>1974</c:v>
                </c:pt>
                <c:pt idx="13">
                  <c:v>1975</c:v>
                </c:pt>
                <c:pt idx="14">
                  <c:v>1976</c:v>
                </c:pt>
                <c:pt idx="15">
                  <c:v>1977</c:v>
                </c:pt>
                <c:pt idx="16">
                  <c:v>1978</c:v>
                </c:pt>
                <c:pt idx="17">
                  <c:v>1979</c:v>
                </c:pt>
                <c:pt idx="18">
                  <c:v>1980</c:v>
                </c:pt>
                <c:pt idx="19">
                  <c:v>1981</c:v>
                </c:pt>
                <c:pt idx="20">
                  <c:v>1982</c:v>
                </c:pt>
                <c:pt idx="21">
                  <c:v>1983</c:v>
                </c:pt>
                <c:pt idx="22">
                  <c:v>1984</c:v>
                </c:pt>
                <c:pt idx="23">
                  <c:v>1985</c:v>
                </c:pt>
                <c:pt idx="24">
                  <c:v>1986</c:v>
                </c:pt>
                <c:pt idx="25">
                  <c:v>1987</c:v>
                </c:pt>
                <c:pt idx="26">
                  <c:v>1988</c:v>
                </c:pt>
                <c:pt idx="27">
                  <c:v>1989</c:v>
                </c:pt>
                <c:pt idx="28">
                  <c:v>1990</c:v>
                </c:pt>
                <c:pt idx="29">
                  <c:v>1991</c:v>
                </c:pt>
                <c:pt idx="30">
                  <c:v>1992</c:v>
                </c:pt>
                <c:pt idx="31">
                  <c:v>1993</c:v>
                </c:pt>
                <c:pt idx="32">
                  <c:v>1994</c:v>
                </c:pt>
                <c:pt idx="33">
                  <c:v>1995</c:v>
                </c:pt>
                <c:pt idx="34">
                  <c:v>1996</c:v>
                </c:pt>
                <c:pt idx="35">
                  <c:v>1997</c:v>
                </c:pt>
                <c:pt idx="36">
                  <c:v>1998</c:v>
                </c:pt>
                <c:pt idx="37">
                  <c:v>1999</c:v>
                </c:pt>
                <c:pt idx="38">
                  <c:v>2000</c:v>
                </c:pt>
                <c:pt idx="39">
                  <c:v>2001</c:v>
                </c:pt>
                <c:pt idx="40">
                  <c:v>2002</c:v>
                </c:pt>
                <c:pt idx="41">
                  <c:v>2003</c:v>
                </c:pt>
                <c:pt idx="42">
                  <c:v>2004</c:v>
                </c:pt>
                <c:pt idx="43">
                  <c:v>2005</c:v>
                </c:pt>
                <c:pt idx="44">
                  <c:v>2006</c:v>
                </c:pt>
                <c:pt idx="45">
                  <c:v>2007</c:v>
                </c:pt>
                <c:pt idx="46">
                  <c:v>2008</c:v>
                </c:pt>
                <c:pt idx="47">
                  <c:v>2009</c:v>
                </c:pt>
                <c:pt idx="48">
                  <c:v>2010</c:v>
                </c:pt>
              </c:numCache>
            </c:numRef>
          </c:xVal>
          <c:yVal>
            <c:numRef>
              <c:f>ln12rpsxBYE!$U$13:$U$41</c:f>
              <c:numCache>
                <c:formatCode>0_)</c:formatCode>
                <c:ptCount val="29"/>
                <c:pt idx="0">
                  <c:v>206324.34298335161</c:v>
                </c:pt>
                <c:pt idx="1">
                  <c:v>161612.94339075411</c:v>
                </c:pt>
                <c:pt idx="2">
                  <c:v>133345.64650695305</c:v>
                </c:pt>
                <c:pt idx="3">
                  <c:v>186113.90850634381</c:v>
                </c:pt>
                <c:pt idx="4">
                  <c:v>188153.90702736928</c:v>
                </c:pt>
                <c:pt idx="5">
                  <c:v>102071.07050011084</c:v>
                </c:pt>
                <c:pt idx="6">
                  <c:v>141322.68546941379</c:v>
                </c:pt>
                <c:pt idx="7">
                  <c:v>228257.29475984172</c:v>
                </c:pt>
                <c:pt idx="8">
                  <c:v>184114.34483185734</c:v>
                </c:pt>
                <c:pt idx="9">
                  <c:v>240919.31407874194</c:v>
                </c:pt>
                <c:pt idx="10">
                  <c:v>202525.28454753137</c:v>
                </c:pt>
                <c:pt idx="11">
                  <c:v>217072.03285309061</c:v>
                </c:pt>
                <c:pt idx="12">
                  <c:v>128460.72706667431</c:v>
                </c:pt>
                <c:pt idx="13">
                  <c:v>118433.60546698821</c:v>
                </c:pt>
                <c:pt idx="14">
                  <c:v>145741.98227111602</c:v>
                </c:pt>
                <c:pt idx="15">
                  <c:v>188672.13802147319</c:v>
                </c:pt>
                <c:pt idx="16">
                  <c:v>131259.150978144</c:v>
                </c:pt>
                <c:pt idx="17">
                  <c:v>219112.12770162924</c:v>
                </c:pt>
                <c:pt idx="18">
                  <c:v>235988.36024822804</c:v>
                </c:pt>
                <c:pt idx="19">
                  <c:v>252426.58435814735</c:v>
                </c:pt>
                <c:pt idx="20">
                  <c:v>233880.48592357253</c:v>
                </c:pt>
                <c:pt idx="21">
                  <c:v>248731.71468641504</c:v>
                </c:pt>
                <c:pt idx="22">
                  <c:v>242408.32028683665</c:v>
                </c:pt>
                <c:pt idx="23">
                  <c:v>238394.94442551018</c:v>
                </c:pt>
                <c:pt idx="24">
                  <c:v>220822.13673269859</c:v>
                </c:pt>
                <c:pt idx="25">
                  <c:v>220724.56954975941</c:v>
                </c:pt>
                <c:pt idx="26">
                  <c:v>218715.59729911329</c:v>
                </c:pt>
                <c:pt idx="27">
                  <c:v>231551.02416990267</c:v>
                </c:pt>
                <c:pt idx="28">
                  <c:v>236907.61223368449</c:v>
                </c:pt>
              </c:numCache>
            </c:numRef>
          </c:yVal>
          <c:smooth val="0"/>
        </c:ser>
        <c:ser>
          <c:idx val="1"/>
          <c:order val="1"/>
          <c:tx>
            <c:v>Actual</c:v>
          </c:tx>
          <c:spPr>
            <a:ln w="3175">
              <a:solidFill>
                <a:srgbClr val="FFFF00"/>
              </a:solidFill>
              <a:prstDash val="solid"/>
            </a:ln>
          </c:spPr>
          <c:marker>
            <c:symbol val="square"/>
            <c:size val="5"/>
            <c:spPr>
              <a:noFill/>
              <a:ln>
                <a:solidFill>
                  <a:srgbClr val="FFFF00"/>
                </a:solidFill>
                <a:prstDash val="solid"/>
              </a:ln>
            </c:spPr>
          </c:marker>
          <c:xVal>
            <c:numRef>
              <c:f>ln12rpsxBYE!$A$13:$A$61</c:f>
              <c:numCache>
                <c:formatCode>General</c:formatCode>
                <c:ptCount val="49"/>
                <c:pt idx="0">
                  <c:v>1962</c:v>
                </c:pt>
                <c:pt idx="1">
                  <c:v>1963</c:v>
                </c:pt>
                <c:pt idx="2">
                  <c:v>1964</c:v>
                </c:pt>
                <c:pt idx="3">
                  <c:v>1965</c:v>
                </c:pt>
                <c:pt idx="4">
                  <c:v>1966</c:v>
                </c:pt>
                <c:pt idx="5">
                  <c:v>1967</c:v>
                </c:pt>
                <c:pt idx="6">
                  <c:v>1968</c:v>
                </c:pt>
                <c:pt idx="7">
                  <c:v>1969</c:v>
                </c:pt>
                <c:pt idx="8">
                  <c:v>1970</c:v>
                </c:pt>
                <c:pt idx="9">
                  <c:v>1971</c:v>
                </c:pt>
                <c:pt idx="10">
                  <c:v>1972</c:v>
                </c:pt>
                <c:pt idx="11">
                  <c:v>1973</c:v>
                </c:pt>
                <c:pt idx="12">
                  <c:v>1974</c:v>
                </c:pt>
                <c:pt idx="13">
                  <c:v>1975</c:v>
                </c:pt>
                <c:pt idx="14">
                  <c:v>1976</c:v>
                </c:pt>
                <c:pt idx="15">
                  <c:v>1977</c:v>
                </c:pt>
                <c:pt idx="16">
                  <c:v>1978</c:v>
                </c:pt>
                <c:pt idx="17">
                  <c:v>1979</c:v>
                </c:pt>
                <c:pt idx="18">
                  <c:v>1980</c:v>
                </c:pt>
                <c:pt idx="19">
                  <c:v>1981</c:v>
                </c:pt>
                <c:pt idx="20">
                  <c:v>1982</c:v>
                </c:pt>
                <c:pt idx="21">
                  <c:v>1983</c:v>
                </c:pt>
                <c:pt idx="22">
                  <c:v>1984</c:v>
                </c:pt>
                <c:pt idx="23">
                  <c:v>1985</c:v>
                </c:pt>
                <c:pt idx="24">
                  <c:v>1986</c:v>
                </c:pt>
                <c:pt idx="25">
                  <c:v>1987</c:v>
                </c:pt>
                <c:pt idx="26">
                  <c:v>1988</c:v>
                </c:pt>
                <c:pt idx="27">
                  <c:v>1989</c:v>
                </c:pt>
                <c:pt idx="28">
                  <c:v>1990</c:v>
                </c:pt>
                <c:pt idx="29">
                  <c:v>1991</c:v>
                </c:pt>
                <c:pt idx="30">
                  <c:v>1992</c:v>
                </c:pt>
                <c:pt idx="31">
                  <c:v>1993</c:v>
                </c:pt>
                <c:pt idx="32">
                  <c:v>1994</c:v>
                </c:pt>
                <c:pt idx="33">
                  <c:v>1995</c:v>
                </c:pt>
                <c:pt idx="34">
                  <c:v>1996</c:v>
                </c:pt>
                <c:pt idx="35">
                  <c:v>1997</c:v>
                </c:pt>
                <c:pt idx="36">
                  <c:v>1998</c:v>
                </c:pt>
                <c:pt idx="37">
                  <c:v>1999</c:v>
                </c:pt>
                <c:pt idx="38">
                  <c:v>2000</c:v>
                </c:pt>
                <c:pt idx="39">
                  <c:v>2001</c:v>
                </c:pt>
                <c:pt idx="40">
                  <c:v>2002</c:v>
                </c:pt>
                <c:pt idx="41">
                  <c:v>2003</c:v>
                </c:pt>
                <c:pt idx="42">
                  <c:v>2004</c:v>
                </c:pt>
                <c:pt idx="43">
                  <c:v>2005</c:v>
                </c:pt>
                <c:pt idx="44">
                  <c:v>2006</c:v>
                </c:pt>
                <c:pt idx="45">
                  <c:v>2007</c:v>
                </c:pt>
                <c:pt idx="46">
                  <c:v>2008</c:v>
                </c:pt>
                <c:pt idx="47">
                  <c:v>2009</c:v>
                </c:pt>
                <c:pt idx="48">
                  <c:v>2010</c:v>
                </c:pt>
              </c:numCache>
            </c:numRef>
          </c:xVal>
          <c:yVal>
            <c:numRef>
              <c:f>ln12rpsxBYE!$P$14:$P$62</c:f>
              <c:numCache>
                <c:formatCode>0.00000_)</c:formatCode>
                <c:ptCount val="49"/>
                <c:pt idx="0">
                  <c:v>-0.51694171543159584</c:v>
                </c:pt>
                <c:pt idx="1">
                  <c:v>-0.56233462803969803</c:v>
                </c:pt>
                <c:pt idx="2">
                  <c:v>-0.69672835645852271</c:v>
                </c:pt>
                <c:pt idx="3">
                  <c:v>-0.68879364233268459</c:v>
                </c:pt>
                <c:pt idx="4">
                  <c:v>-0.40161463058624836</c:v>
                </c:pt>
                <c:pt idx="5">
                  <c:v>-0.50726981214143763</c:v>
                </c:pt>
                <c:pt idx="6">
                  <c:v>-0.8382863330129553</c:v>
                </c:pt>
                <c:pt idx="7">
                  <c:v>-0.5827155855089754</c:v>
                </c:pt>
                <c:pt idx="8">
                  <c:v>-0.88783687828541402</c:v>
                </c:pt>
                <c:pt idx="9">
                  <c:v>-0.70125683734267652</c:v>
                </c:pt>
                <c:pt idx="10">
                  <c:v>-0.68876306447781022</c:v>
                </c:pt>
                <c:pt idx="11">
                  <c:v>-0.49069581136904417</c:v>
                </c:pt>
                <c:pt idx="12">
                  <c:v>-0.3765456607583072</c:v>
                </c:pt>
                <c:pt idx="13">
                  <c:v>-0.53359082295910543</c:v>
                </c:pt>
                <c:pt idx="14">
                  <c:v>-0.63799505398563028</c:v>
                </c:pt>
                <c:pt idx="15">
                  <c:v>-0.57982858278477578</c:v>
                </c:pt>
                <c:pt idx="16">
                  <c:v>-0.84031332390765501</c:v>
                </c:pt>
                <c:pt idx="17">
                  <c:v>-0.94843911851429941</c:v>
                </c:pt>
                <c:pt idx="18">
                  <c:v>-1.1273321296354135</c:v>
                </c:pt>
                <c:pt idx="19">
                  <c:v>-0.95743351873733562</c:v>
                </c:pt>
                <c:pt idx="20">
                  <c:v>-1.0201788512435011</c:v>
                </c:pt>
                <c:pt idx="21">
                  <c:v>-1.2397639370302858</c:v>
                </c:pt>
                <c:pt idx="22">
                  <c:v>-0.99388057569523547</c:v>
                </c:pt>
                <c:pt idx="23">
                  <c:v>-0.84132052275744118</c:v>
                </c:pt>
                <c:pt idx="24">
                  <c:v>-0.82961904831048761</c:v>
                </c:pt>
                <c:pt idx="25">
                  <c:v>-0.81835998806366883</c:v>
                </c:pt>
                <c:pt idx="26">
                  <c:v>-0.92006646385652824</c:v>
                </c:pt>
                <c:pt idx="27">
                  <c:v>-0.96151363942365198</c:v>
                </c:pt>
                <c:pt idx="28">
                  <c:v>-0.91629893781190652</c:v>
                </c:pt>
                <c:pt idx="29">
                  <c:v>-0.90812689809628178</c:v>
                </c:pt>
                <c:pt idx="30">
                  <c:v>-1.0049655718211921</c:v>
                </c:pt>
                <c:pt idx="31">
                  <c:v>-0.962471348535334</c:v>
                </c:pt>
                <c:pt idx="32">
                  <c:v>-0.8553911543347702</c:v>
                </c:pt>
                <c:pt idx="33">
                  <c:v>-0.99085447801462212</c:v>
                </c:pt>
                <c:pt idx="34">
                  <c:v>-1.1952989979537356</c:v>
                </c:pt>
                <c:pt idx="35">
                  <c:v>-0.99474139838358488</c:v>
                </c:pt>
                <c:pt idx="36">
                  <c:v>-1.0032529511221395</c:v>
                </c:pt>
                <c:pt idx="37">
                  <c:v>-0.88312941187053129</c:v>
                </c:pt>
                <c:pt idx="38">
                  <c:v>-1.0395100397889503</c:v>
                </c:pt>
                <c:pt idx="39">
                  <c:v>-1.1227185854258295</c:v>
                </c:pt>
                <c:pt idx="40">
                  <c:v>-0.98949895629185269</c:v>
                </c:pt>
                <c:pt idx="41">
                  <c:v>-0.90618967464479283</c:v>
                </c:pt>
                <c:pt idx="42">
                  <c:v>-0.9893126324569288</c:v>
                </c:pt>
                <c:pt idx="43">
                  <c:v>-1.1838408206377089</c:v>
                </c:pt>
                <c:pt idx="44">
                  <c:v>-1.2022951131892792</c:v>
                </c:pt>
                <c:pt idx="45">
                  <c:v>-0.97596788793556344</c:v>
                </c:pt>
                <c:pt idx="46">
                  <c:v>-0.97178174327546596</c:v>
                </c:pt>
                <c:pt idx="47">
                  <c:v>-1.0577161534513051</c:v>
                </c:pt>
              </c:numCache>
            </c:numRef>
          </c:yVal>
          <c:smooth val="0"/>
        </c:ser>
        <c:dLbls>
          <c:showLegendKey val="0"/>
          <c:showVal val="0"/>
          <c:showCatName val="0"/>
          <c:showSerName val="0"/>
          <c:showPercent val="0"/>
          <c:showBubbleSize val="0"/>
        </c:dLbls>
        <c:axId val="365883776"/>
        <c:axId val="365886080"/>
      </c:scatterChart>
      <c:valAx>
        <c:axId val="365883776"/>
        <c:scaling>
          <c:orientation val="minMax"/>
        </c:scaling>
        <c:delete val="0"/>
        <c:axPos val="b"/>
        <c:title>
          <c:tx>
            <c:rich>
              <a:bodyPr/>
              <a:lstStyle/>
              <a:p>
                <a:pPr>
                  <a:defRPr sz="1000" b="0" i="0" u="none" strike="noStrike" baseline="0">
                    <a:solidFill>
                      <a:srgbClr val="000000"/>
                    </a:solidFill>
                    <a:latin typeface="SWISS"/>
                    <a:ea typeface="SWISS"/>
                    <a:cs typeface="SWISS"/>
                  </a:defRPr>
                </a:pPr>
                <a:r>
                  <a:rPr lang="en-US"/>
                  <a:t>Brood Year</a:t>
                </a:r>
              </a:p>
            </c:rich>
          </c:tx>
          <c:layout>
            <c:manualLayout>
              <c:xMode val="edge"/>
              <c:yMode val="edge"/>
              <c:x val="0.49919748031496397"/>
              <c:y val="0.88441331675645229"/>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SWISS"/>
                <a:ea typeface="SWISS"/>
                <a:cs typeface="SWISS"/>
              </a:defRPr>
            </a:pPr>
            <a:endParaRPr lang="en-US"/>
          </a:p>
        </c:txPr>
        <c:crossAx val="365886080"/>
        <c:crosses val="autoZero"/>
        <c:crossBetween val="midCat"/>
      </c:valAx>
      <c:valAx>
        <c:axId val="365886080"/>
        <c:scaling>
          <c:orientation val="minMax"/>
        </c:scaling>
        <c:delete val="0"/>
        <c:axPos val="l"/>
        <c:title>
          <c:tx>
            <c:rich>
              <a:bodyPr/>
              <a:lstStyle/>
              <a:p>
                <a:pPr>
                  <a:defRPr sz="1000" b="0" i="0" u="none" strike="noStrike" baseline="0">
                    <a:solidFill>
                      <a:srgbClr val="000000"/>
                    </a:solidFill>
                    <a:latin typeface="SWISS"/>
                    <a:ea typeface="SWISS"/>
                    <a:cs typeface="SWISS"/>
                  </a:defRPr>
                </a:pPr>
                <a:r>
                  <a:rPr lang="en-US"/>
                  <a:t>Age 1.2 Return</a:t>
                </a:r>
              </a:p>
            </c:rich>
          </c:tx>
          <c:layout>
            <c:manualLayout>
              <c:xMode val="edge"/>
              <c:yMode val="edge"/>
              <c:x val="2.5682141732283472E-2"/>
              <c:y val="0.41330994152047063"/>
            </c:manualLayout>
          </c:layout>
          <c:overlay val="0"/>
          <c:spPr>
            <a:noFill/>
            <a:ln w="25400">
              <a:noFill/>
            </a:ln>
          </c:spPr>
        </c:title>
        <c:numFmt formatCode="0_)"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SWISS"/>
                <a:ea typeface="SWISS"/>
                <a:cs typeface="SWISS"/>
              </a:defRPr>
            </a:pPr>
            <a:endParaRPr lang="en-US"/>
          </a:p>
        </c:txPr>
        <c:crossAx val="365883776"/>
        <c:crosses val="autoZero"/>
        <c:crossBetween val="midCat"/>
      </c:valAx>
      <c:spPr>
        <a:solidFill>
          <a:srgbClr val="FFFFFF"/>
        </a:solidFill>
        <a:ln w="12700">
          <a:solidFill>
            <a:srgbClr val="000000"/>
          </a:solidFill>
          <a:prstDash val="solid"/>
        </a:ln>
      </c:spPr>
    </c:plotArea>
    <c:legend>
      <c:legendPos val="b"/>
      <c:layout>
        <c:manualLayout>
          <c:xMode val="edge"/>
          <c:yMode val="edge"/>
          <c:x val="0.40449444619422581"/>
          <c:y val="0.94570926002670763"/>
          <c:w val="0.29695025721784885"/>
          <c:h val="4.2031588156744015E-2"/>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920" b="0" i="0" u="none" strike="noStrike" baseline="0">
              <a:solidFill>
                <a:srgbClr val="000000"/>
              </a:solidFill>
              <a:latin typeface="SWISS"/>
              <a:ea typeface="SWISS"/>
              <a:cs typeface="SWISS"/>
            </a:defRPr>
          </a:pPr>
          <a:endParaRPr lang="en-US"/>
        </a:p>
      </c:txPr>
    </c:legend>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SIBLING LN 1.2 FROM LN 1.1</a:t>
            </a:r>
          </a:p>
        </c:rich>
      </c:tx>
      <c:layout>
        <c:manualLayout>
          <c:xMode val="edge"/>
          <c:yMode val="edge"/>
          <c:x val="0.36368169534364148"/>
          <c:y val="3.0633028014355655E-2"/>
        </c:manualLayout>
      </c:layout>
      <c:overlay val="0"/>
      <c:spPr>
        <a:solidFill>
          <a:srgbClr val="FFFFFF"/>
        </a:solidFill>
        <a:ln w="12700">
          <a:solidFill>
            <a:srgbClr val="000000"/>
          </a:solidFill>
          <a:prstDash val="solid"/>
        </a:ln>
        <a:effectLst>
          <a:outerShdw dist="35921" dir="2700000" algn="br">
            <a:srgbClr val="000000"/>
          </a:outerShdw>
        </a:effectLst>
      </c:spPr>
    </c:title>
    <c:autoTitleDeleted val="0"/>
    <c:plotArea>
      <c:layout>
        <c:manualLayout>
          <c:layoutTarget val="inner"/>
          <c:xMode val="edge"/>
          <c:yMode val="edge"/>
          <c:x val="0.11133113183751453"/>
          <c:y val="0.14295458080882736"/>
          <c:w val="0.85502309251211805"/>
          <c:h val="0.66167548831514778"/>
        </c:manualLayout>
      </c:layout>
      <c:scatterChart>
        <c:scatterStyle val="lineMarker"/>
        <c:varyColors val="0"/>
        <c:ser>
          <c:idx val="0"/>
          <c:order val="0"/>
          <c:tx>
            <c:v>ACTUAL</c:v>
          </c:tx>
          <c:spPr>
            <a:ln w="28575">
              <a:noFill/>
            </a:ln>
          </c:spPr>
          <c:marker>
            <c:symbol val="diamond"/>
            <c:size val="5"/>
            <c:spPr>
              <a:solidFill>
                <a:srgbClr val="00FF00"/>
              </a:solidFill>
              <a:ln>
                <a:solidFill>
                  <a:srgbClr val="000000"/>
                </a:solidFill>
                <a:prstDash val="solid"/>
              </a:ln>
            </c:spPr>
          </c:marker>
          <c:dLbls>
            <c:dLbl>
              <c:idx val="0"/>
              <c:tx>
                <c:strRef>
                  <c:f>ln12xln11!$AC$13</c:f>
                  <c:strCache>
                    <c:ptCount val="1"/>
                    <c:pt idx="0">
                      <c:v>69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
              <c:tx>
                <c:strRef>
                  <c:f>ln12xln11!$AC$14</c:f>
                  <c:strCache>
                    <c:ptCount val="1"/>
                    <c:pt idx="0">
                      <c:v>70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
              <c:tx>
                <c:strRef>
                  <c:f>ln12xln11!$AC$15</c:f>
                  <c:strCache>
                    <c:ptCount val="1"/>
                    <c:pt idx="0">
                      <c:v>71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3"/>
              <c:tx>
                <c:strRef>
                  <c:f>ln12xln11!$AC$16</c:f>
                  <c:strCache>
                    <c:ptCount val="1"/>
                    <c:pt idx="0">
                      <c:v>72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4"/>
              <c:tx>
                <c:strRef>
                  <c:f>ln12xln11!$AC$17</c:f>
                  <c:strCache>
                    <c:ptCount val="1"/>
                    <c:pt idx="0">
                      <c:v>73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5"/>
              <c:tx>
                <c:strRef>
                  <c:f>ln12xln11!$AC$18</c:f>
                  <c:strCache>
                    <c:ptCount val="1"/>
                    <c:pt idx="0">
                      <c:v>74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6"/>
              <c:tx>
                <c:strRef>
                  <c:f>ln12xln11!$AC$19</c:f>
                  <c:strCache>
                    <c:ptCount val="1"/>
                    <c:pt idx="0">
                      <c:v>75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7"/>
              <c:tx>
                <c:strRef>
                  <c:f>ln12xln11!$AC$20</c:f>
                  <c:strCache>
                    <c:ptCount val="1"/>
                    <c:pt idx="0">
                      <c:v>76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8"/>
              <c:tx>
                <c:strRef>
                  <c:f>ln12xln11!$AC$21</c:f>
                  <c:strCache>
                    <c:ptCount val="1"/>
                    <c:pt idx="0">
                      <c:v>77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9"/>
              <c:tx>
                <c:strRef>
                  <c:f>ln12xln11!$AC$22</c:f>
                  <c:strCache>
                    <c:ptCount val="1"/>
                    <c:pt idx="0">
                      <c:v>78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0"/>
              <c:tx>
                <c:strRef>
                  <c:f>ln12xln11!$AC$23</c:f>
                  <c:strCache>
                    <c:ptCount val="1"/>
                    <c:pt idx="0">
                      <c:v>79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1"/>
              <c:tx>
                <c:strRef>
                  <c:f>ln12xln11!$AC$24</c:f>
                  <c:strCache>
                    <c:ptCount val="1"/>
                    <c:pt idx="0">
                      <c:v>80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2"/>
              <c:tx>
                <c:strRef>
                  <c:f>ln12xln11!$AC$25</c:f>
                  <c:strCache>
                    <c:ptCount val="1"/>
                    <c:pt idx="0">
                      <c:v>81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3"/>
              <c:tx>
                <c:strRef>
                  <c:f>ln12xln11!$AC$26</c:f>
                  <c:strCache>
                    <c:ptCount val="1"/>
                    <c:pt idx="0">
                      <c:v>82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4"/>
              <c:tx>
                <c:strRef>
                  <c:f>ln12xln11!$AC$27</c:f>
                  <c:strCache>
                    <c:ptCount val="1"/>
                    <c:pt idx="0">
                      <c:v>83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5"/>
              <c:tx>
                <c:strRef>
                  <c:f>ln12xln11!$AC$28</c:f>
                  <c:strCache>
                    <c:ptCount val="1"/>
                    <c:pt idx="0">
                      <c:v>84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6"/>
              <c:tx>
                <c:strRef>
                  <c:f>ln12xln11!$AC$29</c:f>
                  <c:strCache>
                    <c:ptCount val="1"/>
                    <c:pt idx="0">
                      <c:v>85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7"/>
              <c:tx>
                <c:strRef>
                  <c:f>ln12xln11!$AC$30</c:f>
                  <c:strCache>
                    <c:ptCount val="1"/>
                    <c:pt idx="0">
                      <c:v>86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8"/>
              <c:tx>
                <c:strRef>
                  <c:f>ln12xln11!$AC$31</c:f>
                  <c:strCache>
                    <c:ptCount val="1"/>
                    <c:pt idx="0">
                      <c:v>87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9"/>
              <c:tx>
                <c:strRef>
                  <c:f>ln12xln11!$AC$32</c:f>
                  <c:strCache>
                    <c:ptCount val="1"/>
                    <c:pt idx="0">
                      <c:v>88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0"/>
              <c:tx>
                <c:strRef>
                  <c:f>ln12xln11!$AC$33</c:f>
                  <c:strCache>
                    <c:ptCount val="1"/>
                    <c:pt idx="0">
                      <c:v>89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1"/>
              <c:tx>
                <c:strRef>
                  <c:f>ln12xln11!$AC$34</c:f>
                  <c:strCache>
                    <c:ptCount val="1"/>
                    <c:pt idx="0">
                      <c:v>90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2"/>
              <c:tx>
                <c:strRef>
                  <c:f>ln12xln11!$AC$35</c:f>
                  <c:strCache>
                    <c:ptCount val="1"/>
                    <c:pt idx="0">
                      <c:v>91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3"/>
              <c:tx>
                <c:strRef>
                  <c:f>ln12xln11!$AC$36</c:f>
                  <c:strCache>
                    <c:ptCount val="1"/>
                    <c:pt idx="0">
                      <c:v>92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4"/>
              <c:tx>
                <c:strRef>
                  <c:f>ln12xln11!$AC$37</c:f>
                  <c:strCache>
                    <c:ptCount val="1"/>
                    <c:pt idx="0">
                      <c:v>93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5"/>
              <c:tx>
                <c:strRef>
                  <c:f>ln12xln11!$AC$38</c:f>
                  <c:strCache>
                    <c:ptCount val="1"/>
                    <c:pt idx="0">
                      <c:v>94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6"/>
              <c:tx>
                <c:strRef>
                  <c:f>ln12xln11!$AC$39</c:f>
                  <c:strCache>
                    <c:ptCount val="1"/>
                    <c:pt idx="0">
                      <c:v>95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7"/>
              <c:tx>
                <c:strRef>
                  <c:f>ln12xln11!$AC$40</c:f>
                  <c:strCache>
                    <c:ptCount val="1"/>
                    <c:pt idx="0">
                      <c:v>96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8"/>
              <c:tx>
                <c:strRef>
                  <c:f>ln12xln11!$AC$41</c:f>
                  <c:strCache>
                    <c:ptCount val="1"/>
                    <c:pt idx="0">
                      <c:v>97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9"/>
              <c:tx>
                <c:strRef>
                  <c:f>ln12xln11!$AC$58</c:f>
                  <c:strCache>
                    <c:ptCount val="1"/>
                    <c:pt idx="0">
                      <c:v>09</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showLegendKey val="0"/>
            <c:showVal val="0"/>
            <c:showCatName val="0"/>
            <c:showSerName val="0"/>
            <c:showPercent val="0"/>
            <c:showBubbleSize val="0"/>
          </c:dLbls>
          <c:trendline>
            <c:spPr>
              <a:ln w="25400">
                <a:solidFill>
                  <a:srgbClr val="000000"/>
                </a:solidFill>
                <a:prstDash val="solid"/>
              </a:ln>
            </c:spPr>
            <c:trendlineType val="linear"/>
            <c:dispRSqr val="1"/>
            <c:dispEq val="1"/>
            <c:trendlineLbl>
              <c:layout>
                <c:manualLayout>
                  <c:x val="2.3315955978445546E-2"/>
                  <c:y val="0.31845448318856762"/>
                </c:manualLayout>
              </c:layout>
              <c:numFmt formatCode="General" sourceLinked="0"/>
              <c:spPr>
                <a:noFill/>
                <a:ln w="25400">
                  <a:noFill/>
                </a:ln>
              </c:spPr>
              <c:txPr>
                <a:bodyPr/>
                <a:lstStyle/>
                <a:p>
                  <a:pPr>
                    <a:defRPr sz="1200" b="0" i="0" u="none" strike="noStrike" baseline="0">
                      <a:solidFill>
                        <a:srgbClr val="000000"/>
                      </a:solidFill>
                      <a:latin typeface="Times New Roman"/>
                      <a:ea typeface="Times New Roman"/>
                      <a:cs typeface="Times New Roman"/>
                    </a:defRPr>
                  </a:pPr>
                  <a:endParaRPr lang="en-US"/>
                </a:p>
              </c:txPr>
            </c:trendlineLbl>
          </c:trendline>
          <c:xVal>
            <c:numRef>
              <c:f>ln12xln11!$Z$13:$Z$60</c:f>
              <c:numCache>
                <c:formatCode>General</c:formatCode>
                <c:ptCount val="48"/>
                <c:pt idx="0">
                  <c:v>7.3798360922232167</c:v>
                </c:pt>
                <c:pt idx="1">
                  <c:v>4.2036292731298142</c:v>
                </c:pt>
                <c:pt idx="2">
                  <c:v>7.4317194294202729</c:v>
                </c:pt>
                <c:pt idx="3">
                  <c:v>7.6639367951832256</c:v>
                </c:pt>
                <c:pt idx="4">
                  <c:v>7.6027317587172334</c:v>
                </c:pt>
                <c:pt idx="5">
                  <c:v>10.094320373460834</c:v>
                </c:pt>
                <c:pt idx="6">
                  <c:v>7.183103439062938</c:v>
                </c:pt>
                <c:pt idx="7">
                  <c:v>6.9567747344682118</c:v>
                </c:pt>
                <c:pt idx="8">
                  <c:v>7.3308201925797913</c:v>
                </c:pt>
                <c:pt idx="9">
                  <c:v>8.9295922381264159</c:v>
                </c:pt>
                <c:pt idx="10">
                  <c:v>6.8938697503515991</c:v>
                </c:pt>
                <c:pt idx="11">
                  <c:v>8.3645249297946567</c:v>
                </c:pt>
                <c:pt idx="12">
                  <c:v>8.586839002480172</c:v>
                </c:pt>
                <c:pt idx="13">
                  <c:v>11.283954198754358</c:v>
                </c:pt>
                <c:pt idx="14">
                  <c:v>9.7332633270381361</c:v>
                </c:pt>
                <c:pt idx="15">
                  <c:v>10.155779660590518</c:v>
                </c:pt>
                <c:pt idx="16">
                  <c:v>8.4721977115721039</c:v>
                </c:pt>
                <c:pt idx="17">
                  <c:v>10.345240318270431</c:v>
                </c:pt>
                <c:pt idx="18">
                  <c:v>9.8478179976135216</c:v>
                </c:pt>
                <c:pt idx="19">
                  <c:v>9.6834574148761732</c:v>
                </c:pt>
                <c:pt idx="20">
                  <c:v>10.513712327196895</c:v>
                </c:pt>
                <c:pt idx="21">
                  <c:v>9.0379152018843385</c:v>
                </c:pt>
                <c:pt idx="22">
                  <c:v>11.274736584128879</c:v>
                </c:pt>
                <c:pt idx="23">
                  <c:v>9.8249464850406518</c:v>
                </c:pt>
                <c:pt idx="24">
                  <c:v>10.15702482649354</c:v>
                </c:pt>
                <c:pt idx="25">
                  <c:v>10.940255662011179</c:v>
                </c:pt>
                <c:pt idx="26">
                  <c:v>10.970081997673907</c:v>
                </c:pt>
                <c:pt idx="27">
                  <c:v>10.39143784195393</c:v>
                </c:pt>
                <c:pt idx="28">
                  <c:v>9.7087147148805393</c:v>
                </c:pt>
                <c:pt idx="29">
                  <c:v>11.904776138540297</c:v>
                </c:pt>
                <c:pt idx="30">
                  <c:v>10.307167724513286</c:v>
                </c:pt>
                <c:pt idx="31">
                  <c:v>9.4491825260610103</c:v>
                </c:pt>
                <c:pt idx="32">
                  <c:v>9.0215762013225334</c:v>
                </c:pt>
                <c:pt idx="33">
                  <c:v>9.5921190125256324</c:v>
                </c:pt>
                <c:pt idx="34">
                  <c:v>8.9332970094275055</c:v>
                </c:pt>
                <c:pt idx="35">
                  <c:v>9.6642080418653293</c:v>
                </c:pt>
                <c:pt idx="36">
                  <c:v>8.8309871049856525</c:v>
                </c:pt>
                <c:pt idx="37">
                  <c:v>8.7144924910752639</c:v>
                </c:pt>
                <c:pt idx="38">
                  <c:v>8.5588084665941651</c:v>
                </c:pt>
                <c:pt idx="39">
                  <c:v>10.097964899274954</c:v>
                </c:pt>
                <c:pt idx="40">
                  <c:v>7.8876004921868139</c:v>
                </c:pt>
                <c:pt idx="41">
                  <c:v>7.408557997551882</c:v>
                </c:pt>
                <c:pt idx="42">
                  <c:v>8.8710681588590035</c:v>
                </c:pt>
                <c:pt idx="43">
                  <c:v>7.1740783512018949</c:v>
                </c:pt>
                <c:pt idx="44">
                  <c:v>7.9677926218453861</c:v>
                </c:pt>
                <c:pt idx="45">
                  <c:v>7.4025896323361646</c:v>
                </c:pt>
                <c:pt idx="47" formatCode="0.0000_)">
                  <c:v>9.3065749938277289</c:v>
                </c:pt>
              </c:numCache>
            </c:numRef>
          </c:xVal>
          <c:yVal>
            <c:numRef>
              <c:f>ln12xln11!$AB$13:$AB$60</c:f>
              <c:numCache>
                <c:formatCode>General</c:formatCode>
                <c:ptCount val="48"/>
                <c:pt idx="0">
                  <c:v>12.864569076480791</c:v>
                </c:pt>
                <c:pt idx="1">
                  <c:v>12.618710702125638</c:v>
                </c:pt>
                <c:pt idx="2">
                  <c:v>11.485777379207695</c:v>
                </c:pt>
                <c:pt idx="3">
                  <c:v>11.890550097717687</c:v>
                </c:pt>
                <c:pt idx="4">
                  <c:v>11.527954939121013</c:v>
                </c:pt>
                <c:pt idx="5">
                  <c:v>11.337791564019003</c:v>
                </c:pt>
                <c:pt idx="6">
                  <c:v>10.786199106171235</c:v>
                </c:pt>
                <c:pt idx="7">
                  <c:v>11.849668897253039</c:v>
                </c:pt>
                <c:pt idx="8">
                  <c:v>10.319922690953129</c:v>
                </c:pt>
                <c:pt idx="9">
                  <c:v>11.947676971583181</c:v>
                </c:pt>
                <c:pt idx="10">
                  <c:v>11.137836486346464</c:v>
                </c:pt>
                <c:pt idx="11">
                  <c:v>12.065175246038875</c:v>
                </c:pt>
                <c:pt idx="12">
                  <c:v>11.814132726468909</c:v>
                </c:pt>
                <c:pt idx="13">
                  <c:v>12.793846775642196</c:v>
                </c:pt>
                <c:pt idx="14">
                  <c:v>12.755644426092186</c:v>
                </c:pt>
                <c:pt idx="15">
                  <c:v>12.223216515315409</c:v>
                </c:pt>
                <c:pt idx="16">
                  <c:v>11.964532789893058</c:v>
                </c:pt>
                <c:pt idx="17">
                  <c:v>12.585188327865673</c:v>
                </c:pt>
                <c:pt idx="18">
                  <c:v>11.642981829504725</c:v>
                </c:pt>
                <c:pt idx="19">
                  <c:v>12.593228770058985</c:v>
                </c:pt>
                <c:pt idx="20">
                  <c:v>12.391479356752267</c:v>
                </c:pt>
                <c:pt idx="21">
                  <c:v>12.555611132914068</c:v>
                </c:pt>
                <c:pt idx="22">
                  <c:v>12.345291589425951</c:v>
                </c:pt>
                <c:pt idx="23">
                  <c:v>12.379846726997387</c:v>
                </c:pt>
                <c:pt idx="24">
                  <c:v>12.428871221134534</c:v>
                </c:pt>
                <c:pt idx="25">
                  <c:v>12.258436364026526</c:v>
                </c:pt>
                <c:pt idx="26">
                  <c:v>13.002996181295167</c:v>
                </c:pt>
                <c:pt idx="27">
                  <c:v>13.133155005618168</c:v>
                </c:pt>
                <c:pt idx="28">
                  <c:v>12.418977384077587</c:v>
                </c:pt>
                <c:pt idx="29">
                  <c:v>12.511596953312337</c:v>
                </c:pt>
                <c:pt idx="30">
                  <c:v>12.2982204445282</c:v>
                </c:pt>
                <c:pt idx="31">
                  <c:v>11.24254472532397</c:v>
                </c:pt>
                <c:pt idx="32">
                  <c:v>11.519344460525044</c:v>
                </c:pt>
                <c:pt idx="33">
                  <c:v>12.791219118371064</c:v>
                </c:pt>
                <c:pt idx="34">
                  <c:v>12.514228118178037</c:v>
                </c:pt>
                <c:pt idx="35">
                  <c:v>13.125935222752243</c:v>
                </c:pt>
                <c:pt idx="36">
                  <c:v>12.461291763994264</c:v>
                </c:pt>
                <c:pt idx="37">
                  <c:v>12.90210788889968</c:v>
                </c:pt>
                <c:pt idx="38">
                  <c:v>11.881020630189884</c:v>
                </c:pt>
                <c:pt idx="39">
                  <c:v>11.545882550464155</c:v>
                </c:pt>
                <c:pt idx="40">
                  <c:v>12.761895949735445</c:v>
                </c:pt>
                <c:pt idx="41">
                  <c:v>12.923364923755361</c:v>
                </c:pt>
                <c:pt idx="42">
                  <c:v>13.000595114838205</c:v>
                </c:pt>
                <c:pt idx="43">
                  <c:v>13.030386808710347</c:v>
                </c:pt>
                <c:pt idx="44">
                  <c:v>13.385855647136685</c:v>
                </c:pt>
                <c:pt idx="45">
                  <c:v>13.454435293186728</c:v>
                </c:pt>
              </c:numCache>
            </c:numRef>
          </c:yVal>
          <c:smooth val="0"/>
        </c:ser>
        <c:ser>
          <c:idx val="1"/>
          <c:order val="1"/>
          <c:spPr>
            <a:ln w="3175">
              <a:solidFill>
                <a:srgbClr val="0000FF"/>
              </a:solidFill>
              <a:prstDash val="solid"/>
            </a:ln>
          </c:spPr>
          <c:marker>
            <c:symbol val="none"/>
          </c:marker>
          <c:xVal>
            <c:numRef>
              <c:f>ln12xln11!$Z$13:$Z$60</c:f>
              <c:numCache>
                <c:formatCode>General</c:formatCode>
                <c:ptCount val="48"/>
                <c:pt idx="0">
                  <c:v>7.3798360922232167</c:v>
                </c:pt>
                <c:pt idx="1">
                  <c:v>4.2036292731298142</c:v>
                </c:pt>
                <c:pt idx="2">
                  <c:v>7.4317194294202729</c:v>
                </c:pt>
                <c:pt idx="3">
                  <c:v>7.6639367951832256</c:v>
                </c:pt>
                <c:pt idx="4">
                  <c:v>7.6027317587172334</c:v>
                </c:pt>
                <c:pt idx="5">
                  <c:v>10.094320373460834</c:v>
                </c:pt>
                <c:pt idx="6">
                  <c:v>7.183103439062938</c:v>
                </c:pt>
                <c:pt idx="7">
                  <c:v>6.9567747344682118</c:v>
                </c:pt>
                <c:pt idx="8">
                  <c:v>7.3308201925797913</c:v>
                </c:pt>
                <c:pt idx="9">
                  <c:v>8.9295922381264159</c:v>
                </c:pt>
                <c:pt idx="10">
                  <c:v>6.8938697503515991</c:v>
                </c:pt>
                <c:pt idx="11">
                  <c:v>8.3645249297946567</c:v>
                </c:pt>
                <c:pt idx="12">
                  <c:v>8.586839002480172</c:v>
                </c:pt>
                <c:pt idx="13">
                  <c:v>11.283954198754358</c:v>
                </c:pt>
                <c:pt idx="14">
                  <c:v>9.7332633270381361</c:v>
                </c:pt>
                <c:pt idx="15">
                  <c:v>10.155779660590518</c:v>
                </c:pt>
                <c:pt idx="16">
                  <c:v>8.4721977115721039</c:v>
                </c:pt>
                <c:pt idx="17">
                  <c:v>10.345240318270431</c:v>
                </c:pt>
                <c:pt idx="18">
                  <c:v>9.8478179976135216</c:v>
                </c:pt>
                <c:pt idx="19">
                  <c:v>9.6834574148761732</c:v>
                </c:pt>
                <c:pt idx="20">
                  <c:v>10.513712327196895</c:v>
                </c:pt>
                <c:pt idx="21">
                  <c:v>9.0379152018843385</c:v>
                </c:pt>
                <c:pt idx="22">
                  <c:v>11.274736584128879</c:v>
                </c:pt>
                <c:pt idx="23">
                  <c:v>9.8249464850406518</c:v>
                </c:pt>
                <c:pt idx="24">
                  <c:v>10.15702482649354</c:v>
                </c:pt>
                <c:pt idx="25">
                  <c:v>10.940255662011179</c:v>
                </c:pt>
                <c:pt idx="26">
                  <c:v>10.970081997673907</c:v>
                </c:pt>
                <c:pt idx="27">
                  <c:v>10.39143784195393</c:v>
                </c:pt>
                <c:pt idx="28">
                  <c:v>9.7087147148805393</c:v>
                </c:pt>
                <c:pt idx="29">
                  <c:v>11.904776138540297</c:v>
                </c:pt>
                <c:pt idx="30">
                  <c:v>10.307167724513286</c:v>
                </c:pt>
                <c:pt idx="31">
                  <c:v>9.4491825260610103</c:v>
                </c:pt>
                <c:pt idx="32">
                  <c:v>9.0215762013225334</c:v>
                </c:pt>
                <c:pt idx="33">
                  <c:v>9.5921190125256324</c:v>
                </c:pt>
                <c:pt idx="34">
                  <c:v>8.9332970094275055</c:v>
                </c:pt>
                <c:pt idx="35">
                  <c:v>9.6642080418653293</c:v>
                </c:pt>
                <c:pt idx="36">
                  <c:v>8.8309871049856525</c:v>
                </c:pt>
                <c:pt idx="37">
                  <c:v>8.7144924910752639</c:v>
                </c:pt>
                <c:pt idx="38">
                  <c:v>8.5588084665941651</c:v>
                </c:pt>
                <c:pt idx="39">
                  <c:v>10.097964899274954</c:v>
                </c:pt>
                <c:pt idx="40">
                  <c:v>7.8876004921868139</c:v>
                </c:pt>
                <c:pt idx="41">
                  <c:v>7.408557997551882</c:v>
                </c:pt>
                <c:pt idx="42">
                  <c:v>8.8710681588590035</c:v>
                </c:pt>
                <c:pt idx="43">
                  <c:v>7.1740783512018949</c:v>
                </c:pt>
                <c:pt idx="44">
                  <c:v>7.9677926218453861</c:v>
                </c:pt>
                <c:pt idx="45">
                  <c:v>7.4025896323361646</c:v>
                </c:pt>
                <c:pt idx="47" formatCode="0.0000_)">
                  <c:v>9.3065749938277289</c:v>
                </c:pt>
              </c:numCache>
            </c:numRef>
          </c:xVal>
          <c:yVal>
            <c:numRef>
              <c:f>ln12xln11!$AD$13:$AD$60</c:f>
              <c:numCache>
                <c:formatCode>General</c:formatCode>
                <c:ptCount val="48"/>
                <c:pt idx="0">
                  <c:v>11.254623411963983</c:v>
                </c:pt>
                <c:pt idx="1">
                  <c:v>11.00550715871907</c:v>
                </c:pt>
                <c:pt idx="2">
                  <c:v>11.258692725867181</c:v>
                </c:pt>
                <c:pt idx="3">
                  <c:v>11.276905998299418</c:v>
                </c:pt>
                <c:pt idx="4">
                  <c:v>11.272105564879128</c:v>
                </c:pt>
                <c:pt idx="5">
                  <c:v>11.46752584311837</c:v>
                </c:pt>
                <c:pt idx="6">
                  <c:v>11.23919327651071</c:v>
                </c:pt>
                <c:pt idx="7">
                  <c:v>11.22144186355124</c:v>
                </c:pt>
                <c:pt idx="8">
                  <c:v>11.250778996923</c:v>
                </c:pt>
                <c:pt idx="9">
                  <c:v>11.376173886004235</c:v>
                </c:pt>
                <c:pt idx="10">
                  <c:v>11.216508099836812</c:v>
                </c:pt>
                <c:pt idx="11">
                  <c:v>11.331854526875418</c:v>
                </c:pt>
                <c:pt idx="12">
                  <c:v>11.349291064224973</c:v>
                </c:pt>
                <c:pt idx="13">
                  <c:v>11.560831203307455</c:v>
                </c:pt>
                <c:pt idx="14">
                  <c:v>11.439207416852232</c:v>
                </c:pt>
                <c:pt idx="15">
                  <c:v>11.472346217926715</c:v>
                </c:pt>
                <c:pt idx="16">
                  <c:v>11.340299518496119</c:v>
                </c:pt>
                <c:pt idx="17">
                  <c:v>11.487205996230449</c:v>
                </c:pt>
                <c:pt idx="18">
                  <c:v>11.448192168775154</c:v>
                </c:pt>
                <c:pt idx="19">
                  <c:v>11.435301039549392</c:v>
                </c:pt>
                <c:pt idx="20">
                  <c:v>11.500419592835089</c:v>
                </c:pt>
                <c:pt idx="21">
                  <c:v>11.38466987269803</c:v>
                </c:pt>
                <c:pt idx="22">
                  <c:v>11.560108247357121</c:v>
                </c:pt>
                <c:pt idx="23">
                  <c:v>11.446398310300969</c:v>
                </c:pt>
                <c:pt idx="24">
                  <c:v>11.472443878778824</c:v>
                </c:pt>
                <c:pt idx="25">
                  <c:v>11.533874239672555</c:v>
                </c:pt>
                <c:pt idx="26">
                  <c:v>11.536213578831346</c:v>
                </c:pt>
                <c:pt idx="27">
                  <c:v>11.490829360408135</c:v>
                </c:pt>
                <c:pt idx="28">
                  <c:v>11.437282020103412</c:v>
                </c:pt>
                <c:pt idx="29">
                  <c:v>11.609523509690657</c:v>
                </c:pt>
                <c:pt idx="30">
                  <c:v>11.484219886556771</c:v>
                </c:pt>
                <c:pt idx="31">
                  <c:v>11.41692639146912</c:v>
                </c:pt>
                <c:pt idx="32">
                  <c:v>11.383388372205916</c:v>
                </c:pt>
                <c:pt idx="33">
                  <c:v>11.428137185975954</c:v>
                </c:pt>
                <c:pt idx="34">
                  <c:v>11.376464458626932</c:v>
                </c:pt>
                <c:pt idx="35">
                  <c:v>11.433791272725347</c:v>
                </c:pt>
                <c:pt idx="36">
                  <c:v>11.368440088201435</c:v>
                </c:pt>
                <c:pt idx="37">
                  <c:v>11.359303182642856</c:v>
                </c:pt>
                <c:pt idx="38">
                  <c:v>11.347092573234276</c:v>
                </c:pt>
                <c:pt idx="39">
                  <c:v>11.467811690567034</c:v>
                </c:pt>
                <c:pt idx="40">
                  <c:v>11.294448389383492</c:v>
                </c:pt>
                <c:pt idx="41">
                  <c:v>11.256876128442808</c:v>
                </c:pt>
                <c:pt idx="42">
                  <c:v>11.371583725418953</c:v>
                </c:pt>
                <c:pt idx="43">
                  <c:v>11.238485420819565</c:v>
                </c:pt>
                <c:pt idx="44">
                  <c:v>11.300738018497119</c:v>
                </c:pt>
                <c:pt idx="45">
                  <c:v>11.256408017622192</c:v>
                </c:pt>
                <c:pt idx="47">
                  <c:v>11.377067225245181</c:v>
                </c:pt>
              </c:numCache>
            </c:numRef>
          </c:yVal>
          <c:smooth val="0"/>
        </c:ser>
        <c:ser>
          <c:idx val="2"/>
          <c:order val="2"/>
          <c:spPr>
            <a:ln w="3175">
              <a:solidFill>
                <a:srgbClr val="FFFF00"/>
              </a:solidFill>
              <a:prstDash val="solid"/>
            </a:ln>
          </c:spPr>
          <c:marker>
            <c:symbol val="none"/>
          </c:marker>
          <c:xVal>
            <c:numRef>
              <c:f>ln12xln11!$Z$13:$Z$60</c:f>
              <c:numCache>
                <c:formatCode>General</c:formatCode>
                <c:ptCount val="48"/>
                <c:pt idx="0">
                  <c:v>7.3798360922232167</c:v>
                </c:pt>
                <c:pt idx="1">
                  <c:v>4.2036292731298142</c:v>
                </c:pt>
                <c:pt idx="2">
                  <c:v>7.4317194294202729</c:v>
                </c:pt>
                <c:pt idx="3">
                  <c:v>7.6639367951832256</c:v>
                </c:pt>
                <c:pt idx="4">
                  <c:v>7.6027317587172334</c:v>
                </c:pt>
                <c:pt idx="5">
                  <c:v>10.094320373460834</c:v>
                </c:pt>
                <c:pt idx="6">
                  <c:v>7.183103439062938</c:v>
                </c:pt>
                <c:pt idx="7">
                  <c:v>6.9567747344682118</c:v>
                </c:pt>
                <c:pt idx="8">
                  <c:v>7.3308201925797913</c:v>
                </c:pt>
                <c:pt idx="9">
                  <c:v>8.9295922381264159</c:v>
                </c:pt>
                <c:pt idx="10">
                  <c:v>6.8938697503515991</c:v>
                </c:pt>
                <c:pt idx="11">
                  <c:v>8.3645249297946567</c:v>
                </c:pt>
                <c:pt idx="12">
                  <c:v>8.586839002480172</c:v>
                </c:pt>
                <c:pt idx="13">
                  <c:v>11.283954198754358</c:v>
                </c:pt>
                <c:pt idx="14">
                  <c:v>9.7332633270381361</c:v>
                </c:pt>
                <c:pt idx="15">
                  <c:v>10.155779660590518</c:v>
                </c:pt>
                <c:pt idx="16">
                  <c:v>8.4721977115721039</c:v>
                </c:pt>
                <c:pt idx="17">
                  <c:v>10.345240318270431</c:v>
                </c:pt>
                <c:pt idx="18">
                  <c:v>9.8478179976135216</c:v>
                </c:pt>
                <c:pt idx="19">
                  <c:v>9.6834574148761732</c:v>
                </c:pt>
                <c:pt idx="20">
                  <c:v>10.513712327196895</c:v>
                </c:pt>
                <c:pt idx="21">
                  <c:v>9.0379152018843385</c:v>
                </c:pt>
                <c:pt idx="22">
                  <c:v>11.274736584128879</c:v>
                </c:pt>
                <c:pt idx="23">
                  <c:v>9.8249464850406518</c:v>
                </c:pt>
                <c:pt idx="24">
                  <c:v>10.15702482649354</c:v>
                </c:pt>
                <c:pt idx="25">
                  <c:v>10.940255662011179</c:v>
                </c:pt>
                <c:pt idx="26">
                  <c:v>10.970081997673907</c:v>
                </c:pt>
                <c:pt idx="27">
                  <c:v>10.39143784195393</c:v>
                </c:pt>
                <c:pt idx="28">
                  <c:v>9.7087147148805393</c:v>
                </c:pt>
                <c:pt idx="29">
                  <c:v>11.904776138540297</c:v>
                </c:pt>
                <c:pt idx="30">
                  <c:v>10.307167724513286</c:v>
                </c:pt>
                <c:pt idx="31">
                  <c:v>9.4491825260610103</c:v>
                </c:pt>
                <c:pt idx="32">
                  <c:v>9.0215762013225334</c:v>
                </c:pt>
                <c:pt idx="33">
                  <c:v>9.5921190125256324</c:v>
                </c:pt>
                <c:pt idx="34">
                  <c:v>8.9332970094275055</c:v>
                </c:pt>
                <c:pt idx="35">
                  <c:v>9.6642080418653293</c:v>
                </c:pt>
                <c:pt idx="36">
                  <c:v>8.8309871049856525</c:v>
                </c:pt>
                <c:pt idx="37">
                  <c:v>8.7144924910752639</c:v>
                </c:pt>
                <c:pt idx="38">
                  <c:v>8.5588084665941651</c:v>
                </c:pt>
                <c:pt idx="39">
                  <c:v>10.097964899274954</c:v>
                </c:pt>
                <c:pt idx="40">
                  <c:v>7.8876004921868139</c:v>
                </c:pt>
                <c:pt idx="41">
                  <c:v>7.408557997551882</c:v>
                </c:pt>
                <c:pt idx="42">
                  <c:v>8.8710681588590035</c:v>
                </c:pt>
                <c:pt idx="43">
                  <c:v>7.1740783512018949</c:v>
                </c:pt>
                <c:pt idx="44">
                  <c:v>7.9677926218453861</c:v>
                </c:pt>
                <c:pt idx="45">
                  <c:v>7.4025896323361646</c:v>
                </c:pt>
                <c:pt idx="47" formatCode="0.0000_)">
                  <c:v>9.3065749938277289</c:v>
                </c:pt>
              </c:numCache>
            </c:numRef>
          </c:xVal>
          <c:yVal>
            <c:numRef>
              <c:f>ln12xln11!$AE$13:$AE$60</c:f>
              <c:numCache>
                <c:formatCode>General</c:formatCode>
                <c:ptCount val="48"/>
                <c:pt idx="0">
                  <c:v>13.037637868617256</c:v>
                </c:pt>
                <c:pt idx="1">
                  <c:v>12.788521615372343</c:v>
                </c:pt>
                <c:pt idx="2">
                  <c:v>13.041707182520454</c:v>
                </c:pt>
                <c:pt idx="3">
                  <c:v>13.059920454952691</c:v>
                </c:pt>
                <c:pt idx="4">
                  <c:v>13.055120021532401</c:v>
                </c:pt>
                <c:pt idx="5">
                  <c:v>13.250540299771643</c:v>
                </c:pt>
                <c:pt idx="6">
                  <c:v>13.022207733163983</c:v>
                </c:pt>
                <c:pt idx="7">
                  <c:v>13.004456320204513</c:v>
                </c:pt>
                <c:pt idx="8">
                  <c:v>13.033793453576273</c:v>
                </c:pt>
                <c:pt idx="9">
                  <c:v>13.159188342657508</c:v>
                </c:pt>
                <c:pt idx="10">
                  <c:v>12.999522556490085</c:v>
                </c:pt>
                <c:pt idx="11">
                  <c:v>13.114868983528691</c:v>
                </c:pt>
                <c:pt idx="12">
                  <c:v>13.132305520878246</c:v>
                </c:pt>
                <c:pt idx="13">
                  <c:v>13.343845659960728</c:v>
                </c:pt>
                <c:pt idx="14">
                  <c:v>13.222221873505505</c:v>
                </c:pt>
                <c:pt idx="15">
                  <c:v>13.255360674579988</c:v>
                </c:pt>
                <c:pt idx="16">
                  <c:v>13.123313975149392</c:v>
                </c:pt>
                <c:pt idx="17">
                  <c:v>13.270220452883722</c:v>
                </c:pt>
                <c:pt idx="18">
                  <c:v>13.231206625428428</c:v>
                </c:pt>
                <c:pt idx="19">
                  <c:v>13.218315496202665</c:v>
                </c:pt>
                <c:pt idx="20">
                  <c:v>13.283434049488362</c:v>
                </c:pt>
                <c:pt idx="21">
                  <c:v>13.167684329351303</c:v>
                </c:pt>
                <c:pt idx="22">
                  <c:v>13.343122704010394</c:v>
                </c:pt>
                <c:pt idx="23">
                  <c:v>13.229412766954242</c:v>
                </c:pt>
                <c:pt idx="24">
                  <c:v>13.255458335432097</c:v>
                </c:pt>
                <c:pt idx="25">
                  <c:v>13.316888696325828</c:v>
                </c:pt>
                <c:pt idx="26">
                  <c:v>13.319228035484619</c:v>
                </c:pt>
                <c:pt idx="27">
                  <c:v>13.273843817061408</c:v>
                </c:pt>
                <c:pt idx="28">
                  <c:v>13.220296476756685</c:v>
                </c:pt>
                <c:pt idx="29">
                  <c:v>13.39253796634393</c:v>
                </c:pt>
                <c:pt idx="30">
                  <c:v>13.267234343210044</c:v>
                </c:pt>
                <c:pt idx="31">
                  <c:v>13.199940848122393</c:v>
                </c:pt>
                <c:pt idx="32">
                  <c:v>13.166402828859189</c:v>
                </c:pt>
                <c:pt idx="33">
                  <c:v>13.211151642629227</c:v>
                </c:pt>
                <c:pt idx="34">
                  <c:v>13.159478915280205</c:v>
                </c:pt>
                <c:pt idx="35">
                  <c:v>13.216805729378621</c:v>
                </c:pt>
                <c:pt idx="36">
                  <c:v>13.151454544854708</c:v>
                </c:pt>
                <c:pt idx="37">
                  <c:v>13.142317639296129</c:v>
                </c:pt>
                <c:pt idx="38">
                  <c:v>13.130107029887549</c:v>
                </c:pt>
                <c:pt idx="39">
                  <c:v>13.250826147220307</c:v>
                </c:pt>
                <c:pt idx="40">
                  <c:v>13.077462846036765</c:v>
                </c:pt>
                <c:pt idx="41">
                  <c:v>13.039890585096082</c:v>
                </c:pt>
                <c:pt idx="42">
                  <c:v>13.154598182072226</c:v>
                </c:pt>
                <c:pt idx="43">
                  <c:v>13.021499877472838</c:v>
                </c:pt>
                <c:pt idx="44">
                  <c:v>13.083752475150392</c:v>
                </c:pt>
                <c:pt idx="45">
                  <c:v>13.039422474275465</c:v>
                </c:pt>
                <c:pt idx="47">
                  <c:v>13.217430026409215</c:v>
                </c:pt>
              </c:numCache>
            </c:numRef>
          </c:yVal>
          <c:smooth val="0"/>
        </c:ser>
        <c:ser>
          <c:idx val="3"/>
          <c:order val="3"/>
          <c:tx>
            <c:v>Forecast</c:v>
          </c:tx>
          <c:spPr>
            <a:ln w="3175">
              <a:solidFill>
                <a:srgbClr val="FF00FF"/>
              </a:solidFill>
              <a:prstDash val="solid"/>
            </a:ln>
          </c:spPr>
          <c:marker>
            <c:symbol val="square"/>
            <c:size val="10"/>
            <c:spPr>
              <a:solidFill>
                <a:srgbClr val="FF00FF"/>
              </a:solidFill>
              <a:ln>
                <a:solidFill>
                  <a:srgbClr val="000000"/>
                </a:solidFill>
                <a:prstDash val="solid"/>
              </a:ln>
            </c:spPr>
          </c:marker>
          <c:xVal>
            <c:numRef>
              <c:f>ln12xln11!$Z$13:$Z$60</c:f>
              <c:numCache>
                <c:formatCode>General</c:formatCode>
                <c:ptCount val="48"/>
                <c:pt idx="0">
                  <c:v>7.3798360922232167</c:v>
                </c:pt>
                <c:pt idx="1">
                  <c:v>4.2036292731298142</c:v>
                </c:pt>
                <c:pt idx="2">
                  <c:v>7.4317194294202729</c:v>
                </c:pt>
                <c:pt idx="3">
                  <c:v>7.6639367951832256</c:v>
                </c:pt>
                <c:pt idx="4">
                  <c:v>7.6027317587172334</c:v>
                </c:pt>
                <c:pt idx="5">
                  <c:v>10.094320373460834</c:v>
                </c:pt>
                <c:pt idx="6">
                  <c:v>7.183103439062938</c:v>
                </c:pt>
                <c:pt idx="7">
                  <c:v>6.9567747344682118</c:v>
                </c:pt>
                <c:pt idx="8">
                  <c:v>7.3308201925797913</c:v>
                </c:pt>
                <c:pt idx="9">
                  <c:v>8.9295922381264159</c:v>
                </c:pt>
                <c:pt idx="10">
                  <c:v>6.8938697503515991</c:v>
                </c:pt>
                <c:pt idx="11">
                  <c:v>8.3645249297946567</c:v>
                </c:pt>
                <c:pt idx="12">
                  <c:v>8.586839002480172</c:v>
                </c:pt>
                <c:pt idx="13">
                  <c:v>11.283954198754358</c:v>
                </c:pt>
                <c:pt idx="14">
                  <c:v>9.7332633270381361</c:v>
                </c:pt>
                <c:pt idx="15">
                  <c:v>10.155779660590518</c:v>
                </c:pt>
                <c:pt idx="16">
                  <c:v>8.4721977115721039</c:v>
                </c:pt>
                <c:pt idx="17">
                  <c:v>10.345240318270431</c:v>
                </c:pt>
                <c:pt idx="18">
                  <c:v>9.8478179976135216</c:v>
                </c:pt>
                <c:pt idx="19">
                  <c:v>9.6834574148761732</c:v>
                </c:pt>
                <c:pt idx="20">
                  <c:v>10.513712327196895</c:v>
                </c:pt>
                <c:pt idx="21">
                  <c:v>9.0379152018843385</c:v>
                </c:pt>
                <c:pt idx="22">
                  <c:v>11.274736584128879</c:v>
                </c:pt>
                <c:pt idx="23">
                  <c:v>9.8249464850406518</c:v>
                </c:pt>
                <c:pt idx="24">
                  <c:v>10.15702482649354</c:v>
                </c:pt>
                <c:pt idx="25">
                  <c:v>10.940255662011179</c:v>
                </c:pt>
                <c:pt idx="26">
                  <c:v>10.970081997673907</c:v>
                </c:pt>
                <c:pt idx="27">
                  <c:v>10.39143784195393</c:v>
                </c:pt>
                <c:pt idx="28">
                  <c:v>9.7087147148805393</c:v>
                </c:pt>
                <c:pt idx="29">
                  <c:v>11.904776138540297</c:v>
                </c:pt>
                <c:pt idx="30">
                  <c:v>10.307167724513286</c:v>
                </c:pt>
                <c:pt idx="31">
                  <c:v>9.4491825260610103</c:v>
                </c:pt>
                <c:pt idx="32">
                  <c:v>9.0215762013225334</c:v>
                </c:pt>
                <c:pt idx="33">
                  <c:v>9.5921190125256324</c:v>
                </c:pt>
                <c:pt idx="34">
                  <c:v>8.9332970094275055</c:v>
                </c:pt>
                <c:pt idx="35">
                  <c:v>9.6642080418653293</c:v>
                </c:pt>
                <c:pt idx="36">
                  <c:v>8.8309871049856525</c:v>
                </c:pt>
                <c:pt idx="37">
                  <c:v>8.7144924910752639</c:v>
                </c:pt>
                <c:pt idx="38">
                  <c:v>8.5588084665941651</c:v>
                </c:pt>
                <c:pt idx="39">
                  <c:v>10.097964899274954</c:v>
                </c:pt>
                <c:pt idx="40">
                  <c:v>7.8876004921868139</c:v>
                </c:pt>
                <c:pt idx="41">
                  <c:v>7.408557997551882</c:v>
                </c:pt>
                <c:pt idx="42">
                  <c:v>8.8710681588590035</c:v>
                </c:pt>
                <c:pt idx="43">
                  <c:v>7.1740783512018949</c:v>
                </c:pt>
                <c:pt idx="44">
                  <c:v>7.9677926218453861</c:v>
                </c:pt>
                <c:pt idx="45">
                  <c:v>7.4025896323361646</c:v>
                </c:pt>
                <c:pt idx="47" formatCode="0.0000_)">
                  <c:v>9.3065749938277289</c:v>
                </c:pt>
              </c:numCache>
            </c:numRef>
          </c:xVal>
          <c:yVal>
            <c:numRef>
              <c:f>ln12xln11!$AF$13:$AF$60</c:f>
              <c:numCache>
                <c:formatCode>General</c:formatCode>
                <c:ptCount val="48"/>
                <c:pt idx="47">
                  <c:v>12.297248625827198</c:v>
                </c:pt>
              </c:numCache>
            </c:numRef>
          </c:yVal>
          <c:smooth val="0"/>
        </c:ser>
        <c:dLbls>
          <c:showLegendKey val="0"/>
          <c:showVal val="0"/>
          <c:showCatName val="0"/>
          <c:showSerName val="0"/>
          <c:showPercent val="0"/>
          <c:showBubbleSize val="0"/>
        </c:dLbls>
        <c:axId val="365361408"/>
        <c:axId val="365766144"/>
      </c:scatterChart>
      <c:valAx>
        <c:axId val="365361408"/>
        <c:scaling>
          <c:orientation val="minMax"/>
          <c:min val="3"/>
        </c:scaling>
        <c:delete val="0"/>
        <c:axPos val="b"/>
        <c:title>
          <c:tx>
            <c:rich>
              <a:bodyPr/>
              <a:lstStyle/>
              <a:p>
                <a:pPr>
                  <a:defRPr sz="1000" b="0" i="0" u="none" strike="noStrike" baseline="0">
                    <a:solidFill>
                      <a:srgbClr val="000000"/>
                    </a:solidFill>
                    <a:latin typeface="Arial"/>
                    <a:ea typeface="Arial"/>
                    <a:cs typeface="Arial"/>
                  </a:defRPr>
                </a:pPr>
                <a:r>
                  <a:rPr lang="en-US"/>
                  <a:t>LN AGED 1.1</a:t>
                </a:r>
              </a:p>
            </c:rich>
          </c:tx>
          <c:layout>
            <c:manualLayout>
              <c:xMode val="edge"/>
              <c:yMode val="edge"/>
              <c:x val="0.47798160785457805"/>
              <c:y val="0.86589640580641714"/>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365766144"/>
        <c:crosses val="autoZero"/>
        <c:crossBetween val="midCat"/>
      </c:valAx>
      <c:valAx>
        <c:axId val="365766144"/>
        <c:scaling>
          <c:orientation val="minMax"/>
          <c:min val="9"/>
        </c:scaling>
        <c:delete val="0"/>
        <c:axPos val="l"/>
        <c:title>
          <c:tx>
            <c:rich>
              <a:bodyPr/>
              <a:lstStyle/>
              <a:p>
                <a:pPr>
                  <a:defRPr sz="1000" b="0" i="0" u="none" strike="noStrike" baseline="0">
                    <a:solidFill>
                      <a:srgbClr val="000000"/>
                    </a:solidFill>
                    <a:latin typeface="Arial"/>
                    <a:ea typeface="Arial"/>
                    <a:cs typeface="Arial"/>
                  </a:defRPr>
                </a:pPr>
                <a:r>
                  <a:rPr lang="en-US"/>
                  <a:t>LN SIBLINGS AGED 1.2</a:t>
                </a:r>
              </a:p>
            </c:rich>
          </c:tx>
          <c:layout>
            <c:manualLayout>
              <c:xMode val="edge"/>
              <c:yMode val="edge"/>
              <c:x val="2.3750675609993201E-2"/>
              <c:y val="0.32471112539503988"/>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365361408"/>
        <c:crosses val="autoZero"/>
        <c:crossBetween val="midCat"/>
      </c:valAx>
      <c:spPr>
        <a:solidFill>
          <a:srgbClr val="FFFFFF"/>
        </a:solidFill>
        <a:ln w="12700">
          <a:solidFill>
            <a:srgbClr val="000000"/>
          </a:solidFill>
          <a:prstDash val="solid"/>
        </a:ln>
      </c:spPr>
    </c:plotArea>
    <c:legend>
      <c:legendPos val="b"/>
      <c:legendEntry>
        <c:idx val="1"/>
        <c:delete val="1"/>
      </c:legendEntry>
      <c:legendEntry>
        <c:idx val="2"/>
        <c:delete val="1"/>
      </c:legendEntry>
      <c:layout>
        <c:manualLayout>
          <c:xMode val="edge"/>
          <c:yMode val="edge"/>
          <c:x val="0.3057894429862934"/>
          <c:y val="0.93737361401253461"/>
          <c:w val="0.46610627004958338"/>
          <c:h val="4.901301623011161E-2"/>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84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9525">
      <a:noFill/>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orientation="landscape"/>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a:ea typeface="Arial"/>
                <a:cs typeface="Arial"/>
              </a:defRPr>
            </a:pPr>
            <a:r>
              <a:rPr lang="en-US"/>
              <a:t>No 1.3s = Brood Year Escapement</a:t>
            </a:r>
          </a:p>
        </c:rich>
      </c:tx>
      <c:layout>
        <c:manualLayout>
          <c:xMode val="edge"/>
          <c:yMode val="edge"/>
          <c:x val="0.36508565093858381"/>
          <c:y val="2.9201905317391016E-2"/>
        </c:manualLayout>
      </c:layout>
      <c:overlay val="0"/>
      <c:spPr>
        <a:noFill/>
        <a:ln w="25400">
          <a:noFill/>
        </a:ln>
      </c:spPr>
    </c:title>
    <c:autoTitleDeleted val="0"/>
    <c:plotArea>
      <c:layout>
        <c:manualLayout>
          <c:layoutTarget val="inner"/>
          <c:xMode val="edge"/>
          <c:yMode val="edge"/>
          <c:x val="0.12386833895715289"/>
          <c:y val="0.10118258609486643"/>
          <c:w val="0.82796205513465337"/>
          <c:h val="0.75345847850890213"/>
        </c:manualLayout>
      </c:layout>
      <c:scatterChart>
        <c:scatterStyle val="lineMarker"/>
        <c:varyColors val="0"/>
        <c:ser>
          <c:idx val="0"/>
          <c:order val="0"/>
          <c:tx>
            <c:v>1.3=BYE</c:v>
          </c:tx>
          <c:spPr>
            <a:ln w="28575">
              <a:noFill/>
            </a:ln>
          </c:spPr>
          <c:marker>
            <c:symbol val="diamond"/>
            <c:size val="5"/>
            <c:spPr>
              <a:solidFill>
                <a:schemeClr val="tx1"/>
              </a:solidFill>
              <a:ln>
                <a:solidFill>
                  <a:srgbClr val="FFFFFF"/>
                </a:solidFill>
                <a:prstDash val="solid"/>
              </a:ln>
            </c:spPr>
          </c:marker>
          <c:dLbls>
            <c:dLbl>
              <c:idx val="0"/>
              <c:tx>
                <c:strRef>
                  <c:f>'13=BYE'!$X$13</c:f>
                  <c:strCache>
                    <c:ptCount val="1"/>
                    <c:pt idx="0">
                      <c:v>67 </c:v>
                    </c:pt>
                  </c:strCache>
                </c:strRef>
              </c:tx>
              <c:dLblPos val="t"/>
              <c:showLegendKey val="0"/>
              <c:showVal val="1"/>
              <c:showCatName val="0"/>
              <c:showSerName val="0"/>
              <c:showPercent val="0"/>
              <c:showBubbleSize val="0"/>
            </c:dLbl>
            <c:dLbl>
              <c:idx val="1"/>
              <c:tx>
                <c:strRef>
                  <c:f>'13=BYE'!$X$14</c:f>
                  <c:strCache>
                    <c:ptCount val="1"/>
                    <c:pt idx="0">
                      <c:v>68 </c:v>
                    </c:pt>
                  </c:strCache>
                </c:strRef>
              </c:tx>
              <c:dLblPos val="t"/>
              <c:showLegendKey val="0"/>
              <c:showVal val="1"/>
              <c:showCatName val="0"/>
              <c:showSerName val="0"/>
              <c:showPercent val="0"/>
              <c:showBubbleSize val="0"/>
            </c:dLbl>
            <c:dLbl>
              <c:idx val="2"/>
              <c:tx>
                <c:strRef>
                  <c:f>'13=BYE'!$X$15</c:f>
                  <c:strCache>
                    <c:ptCount val="1"/>
                    <c:pt idx="0">
                      <c:v>69 </c:v>
                    </c:pt>
                  </c:strCache>
                </c:strRef>
              </c:tx>
              <c:dLblPos val="t"/>
              <c:showLegendKey val="0"/>
              <c:showVal val="1"/>
              <c:showCatName val="0"/>
              <c:showSerName val="0"/>
              <c:showPercent val="0"/>
              <c:showBubbleSize val="0"/>
            </c:dLbl>
            <c:dLbl>
              <c:idx val="3"/>
              <c:tx>
                <c:strRef>
                  <c:f>'13=BYE'!$X$16</c:f>
                  <c:strCache>
                    <c:ptCount val="1"/>
                    <c:pt idx="0">
                      <c:v>70 </c:v>
                    </c:pt>
                  </c:strCache>
                </c:strRef>
              </c:tx>
              <c:dLblPos val="t"/>
              <c:showLegendKey val="0"/>
              <c:showVal val="1"/>
              <c:showCatName val="0"/>
              <c:showSerName val="0"/>
              <c:showPercent val="0"/>
              <c:showBubbleSize val="0"/>
            </c:dLbl>
            <c:dLbl>
              <c:idx val="4"/>
              <c:tx>
                <c:strRef>
                  <c:f>'13=BYE'!$X$17</c:f>
                  <c:strCache>
                    <c:ptCount val="1"/>
                    <c:pt idx="0">
                      <c:v>71 </c:v>
                    </c:pt>
                  </c:strCache>
                </c:strRef>
              </c:tx>
              <c:dLblPos val="t"/>
              <c:showLegendKey val="0"/>
              <c:showVal val="1"/>
              <c:showCatName val="0"/>
              <c:showSerName val="0"/>
              <c:showPercent val="0"/>
              <c:showBubbleSize val="0"/>
            </c:dLbl>
            <c:dLbl>
              <c:idx val="5"/>
              <c:tx>
                <c:strRef>
                  <c:f>'13=BYE'!$X$18</c:f>
                  <c:strCache>
                    <c:ptCount val="1"/>
                    <c:pt idx="0">
                      <c:v>72 </c:v>
                    </c:pt>
                  </c:strCache>
                </c:strRef>
              </c:tx>
              <c:dLblPos val="t"/>
              <c:showLegendKey val="0"/>
              <c:showVal val="1"/>
              <c:showCatName val="0"/>
              <c:showSerName val="0"/>
              <c:showPercent val="0"/>
              <c:showBubbleSize val="0"/>
            </c:dLbl>
            <c:dLbl>
              <c:idx val="6"/>
              <c:tx>
                <c:strRef>
                  <c:f>'13=BYE'!$X$19</c:f>
                  <c:strCache>
                    <c:ptCount val="1"/>
                    <c:pt idx="0">
                      <c:v>73 </c:v>
                    </c:pt>
                  </c:strCache>
                </c:strRef>
              </c:tx>
              <c:dLblPos val="t"/>
              <c:showLegendKey val="0"/>
              <c:showVal val="1"/>
              <c:showCatName val="0"/>
              <c:showSerName val="0"/>
              <c:showPercent val="0"/>
              <c:showBubbleSize val="0"/>
            </c:dLbl>
            <c:dLbl>
              <c:idx val="7"/>
              <c:tx>
                <c:strRef>
                  <c:f>'13=BYE'!$X$20</c:f>
                  <c:strCache>
                    <c:ptCount val="1"/>
                    <c:pt idx="0">
                      <c:v>74 </c:v>
                    </c:pt>
                  </c:strCache>
                </c:strRef>
              </c:tx>
              <c:dLblPos val="t"/>
              <c:showLegendKey val="0"/>
              <c:showVal val="1"/>
              <c:showCatName val="0"/>
              <c:showSerName val="0"/>
              <c:showPercent val="0"/>
              <c:showBubbleSize val="0"/>
            </c:dLbl>
            <c:dLbl>
              <c:idx val="8"/>
              <c:tx>
                <c:strRef>
                  <c:f>'13=BYE'!$X$21</c:f>
                  <c:strCache>
                    <c:ptCount val="1"/>
                    <c:pt idx="0">
                      <c:v>75 </c:v>
                    </c:pt>
                  </c:strCache>
                </c:strRef>
              </c:tx>
              <c:dLblPos val="t"/>
              <c:showLegendKey val="0"/>
              <c:showVal val="1"/>
              <c:showCatName val="0"/>
              <c:showSerName val="0"/>
              <c:showPercent val="0"/>
              <c:showBubbleSize val="0"/>
            </c:dLbl>
            <c:dLbl>
              <c:idx val="9"/>
              <c:tx>
                <c:strRef>
                  <c:f>'13=BYE'!$X$22</c:f>
                  <c:strCache>
                    <c:ptCount val="1"/>
                    <c:pt idx="0">
                      <c:v>76 </c:v>
                    </c:pt>
                  </c:strCache>
                </c:strRef>
              </c:tx>
              <c:dLblPos val="t"/>
              <c:showLegendKey val="0"/>
              <c:showVal val="1"/>
              <c:showCatName val="0"/>
              <c:showSerName val="0"/>
              <c:showPercent val="0"/>
              <c:showBubbleSize val="0"/>
            </c:dLbl>
            <c:dLbl>
              <c:idx val="10"/>
              <c:tx>
                <c:strRef>
                  <c:f>'13=BYE'!$X$23</c:f>
                  <c:strCache>
                    <c:ptCount val="1"/>
                    <c:pt idx="0">
                      <c:v>77 </c:v>
                    </c:pt>
                  </c:strCache>
                </c:strRef>
              </c:tx>
              <c:dLblPos val="t"/>
              <c:showLegendKey val="0"/>
              <c:showVal val="1"/>
              <c:showCatName val="0"/>
              <c:showSerName val="0"/>
              <c:showPercent val="0"/>
              <c:showBubbleSize val="0"/>
            </c:dLbl>
            <c:dLbl>
              <c:idx val="11"/>
              <c:tx>
                <c:strRef>
                  <c:f>'13=BYE'!$X$24</c:f>
                  <c:strCache>
                    <c:ptCount val="1"/>
                    <c:pt idx="0">
                      <c:v>78 </c:v>
                    </c:pt>
                  </c:strCache>
                </c:strRef>
              </c:tx>
              <c:dLblPos val="t"/>
              <c:showLegendKey val="0"/>
              <c:showVal val="1"/>
              <c:showCatName val="0"/>
              <c:showSerName val="0"/>
              <c:showPercent val="0"/>
              <c:showBubbleSize val="0"/>
            </c:dLbl>
            <c:dLbl>
              <c:idx val="12"/>
              <c:tx>
                <c:strRef>
                  <c:f>'13=BYE'!$X$25</c:f>
                  <c:strCache>
                    <c:ptCount val="1"/>
                    <c:pt idx="0">
                      <c:v>79 </c:v>
                    </c:pt>
                  </c:strCache>
                </c:strRef>
              </c:tx>
              <c:dLblPos val="t"/>
              <c:showLegendKey val="0"/>
              <c:showVal val="1"/>
              <c:showCatName val="0"/>
              <c:showSerName val="0"/>
              <c:showPercent val="0"/>
              <c:showBubbleSize val="0"/>
            </c:dLbl>
            <c:dLbl>
              <c:idx val="13"/>
              <c:tx>
                <c:strRef>
                  <c:f>'13=BYE'!$X$26</c:f>
                  <c:strCache>
                    <c:ptCount val="1"/>
                    <c:pt idx="0">
                      <c:v>80 </c:v>
                    </c:pt>
                  </c:strCache>
                </c:strRef>
              </c:tx>
              <c:dLblPos val="t"/>
              <c:showLegendKey val="0"/>
              <c:showVal val="1"/>
              <c:showCatName val="0"/>
              <c:showSerName val="0"/>
              <c:showPercent val="0"/>
              <c:showBubbleSize val="0"/>
            </c:dLbl>
            <c:dLbl>
              <c:idx val="14"/>
              <c:tx>
                <c:strRef>
                  <c:f>'13=BYE'!$X$27</c:f>
                  <c:strCache>
                    <c:ptCount val="1"/>
                    <c:pt idx="0">
                      <c:v>81 </c:v>
                    </c:pt>
                  </c:strCache>
                </c:strRef>
              </c:tx>
              <c:dLblPos val="t"/>
              <c:showLegendKey val="0"/>
              <c:showVal val="1"/>
              <c:showCatName val="0"/>
              <c:showSerName val="0"/>
              <c:showPercent val="0"/>
              <c:showBubbleSize val="0"/>
            </c:dLbl>
            <c:dLbl>
              <c:idx val="15"/>
              <c:tx>
                <c:strRef>
                  <c:f>'13=BYE'!$X$28</c:f>
                  <c:strCache>
                    <c:ptCount val="1"/>
                    <c:pt idx="0">
                      <c:v>82 </c:v>
                    </c:pt>
                  </c:strCache>
                </c:strRef>
              </c:tx>
              <c:dLblPos val="t"/>
              <c:showLegendKey val="0"/>
              <c:showVal val="1"/>
              <c:showCatName val="0"/>
              <c:showSerName val="0"/>
              <c:showPercent val="0"/>
              <c:showBubbleSize val="0"/>
            </c:dLbl>
            <c:dLbl>
              <c:idx val="16"/>
              <c:tx>
                <c:strRef>
                  <c:f>'13=BYE'!$X$29</c:f>
                  <c:strCache>
                    <c:ptCount val="1"/>
                    <c:pt idx="0">
                      <c:v>83 </c:v>
                    </c:pt>
                  </c:strCache>
                </c:strRef>
              </c:tx>
              <c:dLblPos val="t"/>
              <c:showLegendKey val="0"/>
              <c:showVal val="1"/>
              <c:showCatName val="0"/>
              <c:showSerName val="0"/>
              <c:showPercent val="0"/>
              <c:showBubbleSize val="0"/>
            </c:dLbl>
            <c:dLbl>
              <c:idx val="17"/>
              <c:tx>
                <c:strRef>
                  <c:f>'13=BYE'!$X$30</c:f>
                  <c:strCache>
                    <c:ptCount val="1"/>
                    <c:pt idx="0">
                      <c:v>84 </c:v>
                    </c:pt>
                  </c:strCache>
                </c:strRef>
              </c:tx>
              <c:dLblPos val="t"/>
              <c:showLegendKey val="0"/>
              <c:showVal val="1"/>
              <c:showCatName val="0"/>
              <c:showSerName val="0"/>
              <c:showPercent val="0"/>
              <c:showBubbleSize val="0"/>
            </c:dLbl>
            <c:dLbl>
              <c:idx val="18"/>
              <c:tx>
                <c:strRef>
                  <c:f>'13=BYE'!$X$31</c:f>
                  <c:strCache>
                    <c:ptCount val="1"/>
                    <c:pt idx="0">
                      <c:v>85 </c:v>
                    </c:pt>
                  </c:strCache>
                </c:strRef>
              </c:tx>
              <c:dLblPos val="t"/>
              <c:showLegendKey val="0"/>
              <c:showVal val="1"/>
              <c:showCatName val="0"/>
              <c:showSerName val="0"/>
              <c:showPercent val="0"/>
              <c:showBubbleSize val="0"/>
            </c:dLbl>
            <c:dLbl>
              <c:idx val="19"/>
              <c:tx>
                <c:strRef>
                  <c:f>'13=BYE'!$X$32</c:f>
                  <c:strCache>
                    <c:ptCount val="1"/>
                    <c:pt idx="0">
                      <c:v>86 </c:v>
                    </c:pt>
                  </c:strCache>
                </c:strRef>
              </c:tx>
              <c:dLblPos val="t"/>
              <c:showLegendKey val="0"/>
              <c:showVal val="1"/>
              <c:showCatName val="0"/>
              <c:showSerName val="0"/>
              <c:showPercent val="0"/>
              <c:showBubbleSize val="0"/>
            </c:dLbl>
            <c:dLbl>
              <c:idx val="20"/>
              <c:tx>
                <c:strRef>
                  <c:f>'13=BYE'!$X$33</c:f>
                  <c:strCache>
                    <c:ptCount val="1"/>
                    <c:pt idx="0">
                      <c:v>87 </c:v>
                    </c:pt>
                  </c:strCache>
                </c:strRef>
              </c:tx>
              <c:dLblPos val="t"/>
              <c:showLegendKey val="0"/>
              <c:showVal val="1"/>
              <c:showCatName val="0"/>
              <c:showSerName val="0"/>
              <c:showPercent val="0"/>
              <c:showBubbleSize val="0"/>
            </c:dLbl>
            <c:dLbl>
              <c:idx val="21"/>
              <c:tx>
                <c:strRef>
                  <c:f>'13=BYE'!$X$34</c:f>
                  <c:strCache>
                    <c:ptCount val="1"/>
                    <c:pt idx="0">
                      <c:v>88 </c:v>
                    </c:pt>
                  </c:strCache>
                </c:strRef>
              </c:tx>
              <c:dLblPos val="t"/>
              <c:showLegendKey val="0"/>
              <c:showVal val="1"/>
              <c:showCatName val="0"/>
              <c:showSerName val="0"/>
              <c:showPercent val="0"/>
              <c:showBubbleSize val="0"/>
            </c:dLbl>
            <c:dLbl>
              <c:idx val="22"/>
              <c:tx>
                <c:strRef>
                  <c:f>'13=BYE'!$X$35</c:f>
                  <c:strCache>
                    <c:ptCount val="1"/>
                    <c:pt idx="0">
                      <c:v>89 </c:v>
                    </c:pt>
                  </c:strCache>
                </c:strRef>
              </c:tx>
              <c:dLblPos val="t"/>
              <c:showLegendKey val="0"/>
              <c:showVal val="1"/>
              <c:showCatName val="0"/>
              <c:showSerName val="0"/>
              <c:showPercent val="0"/>
              <c:showBubbleSize val="0"/>
            </c:dLbl>
            <c:dLbl>
              <c:idx val="23"/>
              <c:tx>
                <c:strRef>
                  <c:f>'13=BYE'!$X$36</c:f>
                  <c:strCache>
                    <c:ptCount val="1"/>
                    <c:pt idx="0">
                      <c:v>90 </c:v>
                    </c:pt>
                  </c:strCache>
                </c:strRef>
              </c:tx>
              <c:dLblPos val="t"/>
              <c:showLegendKey val="0"/>
              <c:showVal val="1"/>
              <c:showCatName val="0"/>
              <c:showSerName val="0"/>
              <c:showPercent val="0"/>
              <c:showBubbleSize val="0"/>
            </c:dLbl>
            <c:dLbl>
              <c:idx val="24"/>
              <c:tx>
                <c:strRef>
                  <c:f>'13=BYE'!$X$37</c:f>
                  <c:strCache>
                    <c:ptCount val="1"/>
                    <c:pt idx="0">
                      <c:v>91 </c:v>
                    </c:pt>
                  </c:strCache>
                </c:strRef>
              </c:tx>
              <c:dLblPos val="t"/>
              <c:showLegendKey val="0"/>
              <c:showVal val="1"/>
              <c:showCatName val="0"/>
              <c:showSerName val="0"/>
              <c:showPercent val="0"/>
              <c:showBubbleSize val="0"/>
            </c:dLbl>
            <c:dLbl>
              <c:idx val="25"/>
              <c:tx>
                <c:strRef>
                  <c:f>'13=BYE'!$X$38</c:f>
                  <c:strCache>
                    <c:ptCount val="1"/>
                    <c:pt idx="0">
                      <c:v>92 </c:v>
                    </c:pt>
                  </c:strCache>
                </c:strRef>
              </c:tx>
              <c:dLblPos val="t"/>
              <c:showLegendKey val="0"/>
              <c:showVal val="1"/>
              <c:showCatName val="0"/>
              <c:showSerName val="0"/>
              <c:showPercent val="0"/>
              <c:showBubbleSize val="0"/>
            </c:dLbl>
            <c:dLbl>
              <c:idx val="26"/>
              <c:tx>
                <c:strRef>
                  <c:f>'13=BYE'!$X$39</c:f>
                  <c:strCache>
                    <c:ptCount val="1"/>
                    <c:pt idx="0">
                      <c:v>93 </c:v>
                    </c:pt>
                  </c:strCache>
                </c:strRef>
              </c:tx>
              <c:dLblPos val="t"/>
              <c:showLegendKey val="0"/>
              <c:showVal val="1"/>
              <c:showCatName val="0"/>
              <c:showSerName val="0"/>
              <c:showPercent val="0"/>
              <c:showBubbleSize val="0"/>
            </c:dLbl>
            <c:dLbl>
              <c:idx val="27"/>
              <c:tx>
                <c:strRef>
                  <c:f>'13=BYE'!$X$40</c:f>
                  <c:strCache>
                    <c:ptCount val="1"/>
                    <c:pt idx="0">
                      <c:v>94 </c:v>
                    </c:pt>
                  </c:strCache>
                </c:strRef>
              </c:tx>
              <c:dLblPos val="t"/>
              <c:showLegendKey val="0"/>
              <c:showVal val="1"/>
              <c:showCatName val="0"/>
              <c:showSerName val="0"/>
              <c:showPercent val="0"/>
              <c:showBubbleSize val="0"/>
            </c:dLbl>
            <c:dLbl>
              <c:idx val="28"/>
              <c:tx>
                <c:strRef>
                  <c:f>'13=BYE'!$X$41</c:f>
                  <c:strCache>
                    <c:ptCount val="1"/>
                    <c:pt idx="0">
                      <c:v>95 </c:v>
                    </c:pt>
                  </c:strCache>
                </c:strRef>
              </c:tx>
              <c:dLblPos val="t"/>
              <c:showLegendKey val="0"/>
              <c:showVal val="1"/>
              <c:showCatName val="0"/>
              <c:showSerName val="0"/>
              <c:showPercent val="0"/>
              <c:showBubbleSize val="0"/>
            </c:dLbl>
            <c:dLbl>
              <c:idx val="29"/>
              <c:tx>
                <c:strRef>
                  <c:f>'13=BYE'!$X$42</c:f>
                  <c:strCache>
                    <c:ptCount val="1"/>
                    <c:pt idx="0">
                      <c:v>96 </c:v>
                    </c:pt>
                  </c:strCache>
                </c:strRef>
              </c:tx>
              <c:dLblPos val="t"/>
              <c:showLegendKey val="0"/>
              <c:showVal val="1"/>
              <c:showCatName val="0"/>
              <c:showSerName val="0"/>
              <c:showPercent val="0"/>
              <c:showBubbleSize val="0"/>
            </c:dLbl>
            <c:dLbl>
              <c:idx val="30"/>
              <c:tx>
                <c:strRef>
                  <c:f>'13=BYE'!$X$43</c:f>
                  <c:strCache>
                    <c:ptCount val="1"/>
                    <c:pt idx="0">
                      <c:v>97 </c:v>
                    </c:pt>
                  </c:strCache>
                </c:strRef>
              </c:tx>
              <c:dLblPos val="t"/>
              <c:showLegendKey val="0"/>
              <c:showVal val="1"/>
              <c:showCatName val="0"/>
              <c:showSerName val="0"/>
              <c:showPercent val="0"/>
              <c:showBubbleSize val="0"/>
            </c:dLbl>
            <c:dLbl>
              <c:idx val="31"/>
              <c:tx>
                <c:strRef>
                  <c:f>'13=BYE'!$X$44</c:f>
                  <c:strCache>
                    <c:ptCount val="1"/>
                    <c:pt idx="0">
                      <c:v>98 </c:v>
                    </c:pt>
                  </c:strCache>
                </c:strRef>
              </c:tx>
              <c:dLblPos val="t"/>
              <c:showLegendKey val="0"/>
              <c:showVal val="1"/>
              <c:showCatName val="0"/>
              <c:showSerName val="0"/>
              <c:showPercent val="0"/>
              <c:showBubbleSize val="0"/>
            </c:dLbl>
            <c:dLbl>
              <c:idx val="32"/>
              <c:tx>
                <c:strRef>
                  <c:f>'13=BYE'!$X$45</c:f>
                  <c:strCache>
                    <c:ptCount val="1"/>
                    <c:pt idx="0">
                      <c:v>99 </c:v>
                    </c:pt>
                  </c:strCache>
                </c:strRef>
              </c:tx>
              <c:dLblPos val="t"/>
              <c:showLegendKey val="0"/>
              <c:showVal val="1"/>
              <c:showCatName val="0"/>
              <c:showSerName val="0"/>
              <c:showPercent val="0"/>
              <c:showBubbleSize val="0"/>
            </c:dLbl>
            <c:dLbl>
              <c:idx val="33"/>
              <c:tx>
                <c:strRef>
                  <c:f>'13=BYE'!$X$46</c:f>
                  <c:strCache>
                    <c:ptCount val="1"/>
                    <c:pt idx="0">
                      <c:v>00</c:v>
                    </c:pt>
                  </c:strCache>
                </c:strRef>
              </c:tx>
              <c:dLblPos val="t"/>
              <c:showLegendKey val="0"/>
              <c:showVal val="1"/>
              <c:showCatName val="0"/>
              <c:showSerName val="0"/>
              <c:showPercent val="0"/>
              <c:showBubbleSize val="0"/>
            </c:dLbl>
            <c:dLbl>
              <c:idx val="34"/>
              <c:tx>
                <c:strRef>
                  <c:f>'13=BYE'!$X$47</c:f>
                  <c:strCache>
                    <c:ptCount val="1"/>
                    <c:pt idx="0">
                      <c:v>01</c:v>
                    </c:pt>
                  </c:strCache>
                </c:strRef>
              </c:tx>
              <c:dLblPos val="t"/>
              <c:showLegendKey val="0"/>
              <c:showVal val="1"/>
              <c:showCatName val="0"/>
              <c:showSerName val="0"/>
              <c:showPercent val="0"/>
              <c:showBubbleSize val="0"/>
            </c:dLbl>
            <c:dLbl>
              <c:idx val="35"/>
              <c:tx>
                <c:strRef>
                  <c:f>'13=BYE'!$X$48</c:f>
                  <c:strCache>
                    <c:ptCount val="1"/>
                    <c:pt idx="0">
                      <c:v>02</c:v>
                    </c:pt>
                  </c:strCache>
                </c:strRef>
              </c:tx>
              <c:dLblPos val="t"/>
              <c:showLegendKey val="0"/>
              <c:showVal val="1"/>
              <c:showCatName val="0"/>
              <c:showSerName val="0"/>
              <c:showPercent val="0"/>
              <c:showBubbleSize val="0"/>
            </c:dLbl>
            <c:dLbl>
              <c:idx val="36"/>
              <c:tx>
                <c:strRef>
                  <c:f>'13=BYE'!$X$49</c:f>
                  <c:strCache>
                    <c:ptCount val="1"/>
                    <c:pt idx="0">
                      <c:v>03</c:v>
                    </c:pt>
                  </c:strCache>
                </c:strRef>
              </c:tx>
              <c:dLblPos val="t"/>
              <c:showLegendKey val="0"/>
              <c:showVal val="1"/>
              <c:showCatName val="0"/>
              <c:showSerName val="0"/>
              <c:showPercent val="0"/>
              <c:showBubbleSize val="0"/>
            </c:dLbl>
            <c:dLbl>
              <c:idx val="37"/>
              <c:tx>
                <c:strRef>
                  <c:f>'13=BYE'!$X$50</c:f>
                  <c:strCache>
                    <c:ptCount val="1"/>
                    <c:pt idx="0">
                      <c:v>04</c:v>
                    </c:pt>
                  </c:strCache>
                </c:strRef>
              </c:tx>
              <c:dLblPos val="t"/>
              <c:showLegendKey val="0"/>
              <c:showVal val="1"/>
              <c:showCatName val="0"/>
              <c:showSerName val="0"/>
              <c:showPercent val="0"/>
              <c:showBubbleSize val="0"/>
            </c:dLbl>
            <c:dLbl>
              <c:idx val="38"/>
              <c:tx>
                <c:strRef>
                  <c:f>'13=BYE'!$X$51</c:f>
                  <c:strCache>
                    <c:ptCount val="1"/>
                    <c:pt idx="0">
                      <c:v>05</c:v>
                    </c:pt>
                  </c:strCache>
                </c:strRef>
              </c:tx>
              <c:dLblPos val="t"/>
              <c:showLegendKey val="0"/>
              <c:showVal val="1"/>
              <c:showCatName val="0"/>
              <c:showSerName val="0"/>
              <c:showPercent val="0"/>
              <c:showBubbleSize val="0"/>
            </c:dLbl>
            <c:dLbl>
              <c:idx val="39"/>
              <c:tx>
                <c:strRef>
                  <c:f>'13=BYE'!$X$52</c:f>
                  <c:strCache>
                    <c:ptCount val="1"/>
                    <c:pt idx="0">
                      <c:v>06</c:v>
                    </c:pt>
                  </c:strCache>
                </c:strRef>
              </c:tx>
              <c:dLblPos val="t"/>
              <c:showLegendKey val="0"/>
              <c:showVal val="1"/>
              <c:showCatName val="0"/>
              <c:showSerName val="0"/>
              <c:showPercent val="0"/>
              <c:showBubbleSize val="0"/>
            </c:dLbl>
            <c:dLbl>
              <c:idx val="40"/>
              <c:tx>
                <c:strRef>
                  <c:f>'13=BYE'!$X$53</c:f>
                  <c:strCache>
                    <c:ptCount val="1"/>
                    <c:pt idx="0">
                      <c:v>07</c:v>
                    </c:pt>
                  </c:strCache>
                </c:strRef>
              </c:tx>
              <c:dLblPos val="t"/>
              <c:showLegendKey val="0"/>
              <c:showVal val="1"/>
              <c:showCatName val="0"/>
              <c:showSerName val="0"/>
              <c:showPercent val="0"/>
              <c:showBubbleSize val="0"/>
            </c:dLbl>
            <c:dLbl>
              <c:idx val="41"/>
              <c:tx>
                <c:strRef>
                  <c:f>'13=BYE'!$X$54</c:f>
                  <c:strCache>
                    <c:ptCount val="1"/>
                    <c:pt idx="0">
                      <c:v>08</c:v>
                    </c:pt>
                  </c:strCache>
                </c:strRef>
              </c:tx>
              <c:dLblPos val="t"/>
              <c:showLegendKey val="0"/>
              <c:showVal val="1"/>
              <c:showCatName val="0"/>
              <c:showSerName val="0"/>
              <c:showPercent val="0"/>
              <c:showBubbleSize val="0"/>
            </c:dLbl>
            <c:dLbl>
              <c:idx val="42"/>
              <c:tx>
                <c:strRef>
                  <c:f>'13=BYE'!$X$55</c:f>
                  <c:strCache>
                    <c:ptCount val="1"/>
                    <c:pt idx="0">
                      <c:v>09</c:v>
                    </c:pt>
                  </c:strCache>
                </c:strRef>
              </c:tx>
              <c:dLblPos val="t"/>
              <c:showLegendKey val="0"/>
              <c:showVal val="1"/>
              <c:showCatName val="0"/>
              <c:showSerName val="0"/>
              <c:showPercent val="0"/>
              <c:showBubbleSize val="0"/>
            </c:dLbl>
            <c:dLbl>
              <c:idx val="43"/>
              <c:tx>
                <c:strRef>
                  <c:f>'13=BYE'!$X$56</c:f>
                  <c:strCache>
                    <c:ptCount val="1"/>
                    <c:pt idx="0">
                      <c:v>10</c:v>
                    </c:pt>
                  </c:strCache>
                </c:strRef>
              </c:tx>
              <c:dLblPos val="t"/>
              <c:showLegendKey val="0"/>
              <c:showVal val="1"/>
              <c:showCatName val="0"/>
              <c:showSerName val="0"/>
              <c:showPercent val="0"/>
              <c:showBubbleSize val="0"/>
            </c:dLbl>
            <c:dLbl>
              <c:idx val="44"/>
              <c:tx>
                <c:strRef>
                  <c:f>'13=BYE'!$X$60</c:f>
                  <c:strCache>
                    <c:ptCount val="1"/>
                    <c:pt idx="0">
                      <c:v>11</c:v>
                    </c:pt>
                  </c:strCache>
                </c:strRef>
              </c:tx>
              <c:dLblPos val="t"/>
              <c:showLegendKey val="0"/>
              <c:showVal val="1"/>
              <c:showCatName val="0"/>
              <c:showSerName val="0"/>
              <c:showPercent val="0"/>
              <c:showBubbleSize val="0"/>
            </c:dLbl>
            <c:showLegendKey val="0"/>
            <c:showVal val="1"/>
            <c:showCatName val="0"/>
            <c:showSerName val="0"/>
            <c:showPercent val="0"/>
            <c:showBubbleSize val="0"/>
            <c:showLeaderLines val="0"/>
          </c:dLbls>
          <c:trendline>
            <c:spPr>
              <a:ln w="25400">
                <a:solidFill>
                  <a:srgbClr val="000000"/>
                </a:solidFill>
                <a:prstDash val="solid"/>
              </a:ln>
            </c:spPr>
            <c:trendlineType val="linear"/>
            <c:dispRSqr val="1"/>
            <c:dispEq val="1"/>
            <c:trendlineLbl>
              <c:layout>
                <c:manualLayout>
                  <c:x val="-0.50079105709274063"/>
                  <c:y val="-6.2098889733429592E-2"/>
                </c:manualLayout>
              </c:layout>
              <c:numFmt formatCode="General" sourceLinked="0"/>
              <c:spPr>
                <a:noFill/>
                <a:ln w="25400">
                  <a:noFill/>
                </a:ln>
              </c:spPr>
              <c:txPr>
                <a:bodyPr/>
                <a:lstStyle/>
                <a:p>
                  <a:pPr>
                    <a:defRPr sz="1200" b="0" i="0" u="none" strike="noStrike" baseline="0">
                      <a:solidFill>
                        <a:srgbClr val="000000"/>
                      </a:solidFill>
                      <a:latin typeface="Arial"/>
                      <a:ea typeface="Arial"/>
                      <a:cs typeface="Arial"/>
                    </a:defRPr>
                  </a:pPr>
                  <a:endParaRPr lang="en-US"/>
                </a:p>
              </c:txPr>
            </c:trendlineLbl>
          </c:trendline>
          <c:xVal>
            <c:numRef>
              <c:f>'13=BYE'!$C$13:$C$60</c:f>
              <c:numCache>
                <c:formatCode>#,##0</c:formatCode>
                <c:ptCount val="48"/>
                <c:pt idx="0">
                  <c:v>416093.18072477408</c:v>
                </c:pt>
                <c:pt idx="1">
                  <c:v>271007.35305366298</c:v>
                </c:pt>
                <c:pt idx="2">
                  <c:v>233990.19926972012</c:v>
                </c:pt>
                <c:pt idx="3">
                  <c:v>373563.22002911044</c:v>
                </c:pt>
                <c:pt idx="4">
                  <c:v>374673.10456808144</c:v>
                </c:pt>
                <c:pt idx="5">
                  <c:v>152518.20574374442</c:v>
                </c:pt>
                <c:pt idx="6">
                  <c:v>234701.76831870052</c:v>
                </c:pt>
                <c:pt idx="7">
                  <c:v>527822.37255732983</c:v>
                </c:pt>
                <c:pt idx="8">
                  <c:v>329729.48946597357</c:v>
                </c:pt>
                <c:pt idx="9">
                  <c:v>585402.09872581216</c:v>
                </c:pt>
                <c:pt idx="10">
                  <c:v>408348.74565424217</c:v>
                </c:pt>
                <c:pt idx="11">
                  <c:v>432244.89386258059</c:v>
                </c:pt>
                <c:pt idx="12">
                  <c:v>209834.48285271373</c:v>
                </c:pt>
                <c:pt idx="13">
                  <c:v>172586.43317981472</c:v>
                </c:pt>
                <c:pt idx="14">
                  <c:v>248496.46908689401</c:v>
                </c:pt>
                <c:pt idx="15">
                  <c:v>357096.4249518197</c:v>
                </c:pt>
                <c:pt idx="16">
                  <c:v>234393.70547443983</c:v>
                </c:pt>
                <c:pt idx="17">
                  <c:v>507703.14743589744</c:v>
                </c:pt>
                <c:pt idx="18">
                  <c:v>609245.6797237664</c:v>
                </c:pt>
                <c:pt idx="19">
                  <c:v>779344.03185492684</c:v>
                </c:pt>
                <c:pt idx="20">
                  <c:v>609259.17976030742</c:v>
                </c:pt>
                <c:pt idx="21">
                  <c:v>689904.86811018642</c:v>
                </c:pt>
                <c:pt idx="22">
                  <c:v>837471.73615241167</c:v>
                </c:pt>
                <c:pt idx="23">
                  <c:v>644071.2163551402</c:v>
                </c:pt>
                <c:pt idx="24">
                  <c:v>512181.00557456672</c:v>
                </c:pt>
                <c:pt idx="25">
                  <c:v>505998.99389258347</c:v>
                </c:pt>
                <c:pt idx="26">
                  <c:v>495779.97595582763</c:v>
                </c:pt>
                <c:pt idx="27">
                  <c:v>581067.37842492911</c:v>
                </c:pt>
                <c:pt idx="28">
                  <c:v>619668.01983819774</c:v>
                </c:pt>
                <c:pt idx="29">
                  <c:v>567389.92208594619</c:v>
                </c:pt>
                <c:pt idx="30">
                  <c:v>558331.04056437232</c:v>
                </c:pt>
                <c:pt idx="31">
                  <c:v>652721.10807092034</c:v>
                </c:pt>
                <c:pt idx="32">
                  <c:v>614989.28339619539</c:v>
                </c:pt>
                <c:pt idx="33">
                  <c:v>528715.42146727804</c:v>
                </c:pt>
                <c:pt idx="34">
                  <c:v>674836.32951188635</c:v>
                </c:pt>
                <c:pt idx="35">
                  <c:v>900332.70692073856</c:v>
                </c:pt>
                <c:pt idx="36">
                  <c:v>635380.79722662957</c:v>
                </c:pt>
                <c:pt idx="37">
                  <c:v>648887</c:v>
                </c:pt>
                <c:pt idx="38">
                  <c:v>537592</c:v>
                </c:pt>
                <c:pt idx="39">
                  <c:v>680513</c:v>
                </c:pt>
                <c:pt idx="40">
                  <c:v>732389</c:v>
                </c:pt>
                <c:pt idx="41">
                  <c:v>653564</c:v>
                </c:pt>
                <c:pt idx="42">
                  <c:v>586352</c:v>
                </c:pt>
                <c:pt idx="43">
                  <c:v>631646.30056050722</c:v>
                </c:pt>
                <c:pt idx="44">
                  <c:v>777081</c:v>
                </c:pt>
                <c:pt idx="45">
                  <c:v>786913</c:v>
                </c:pt>
                <c:pt idx="46">
                  <c:v>615240</c:v>
                </c:pt>
                <c:pt idx="47">
                  <c:v>604964</c:v>
                </c:pt>
              </c:numCache>
            </c:numRef>
          </c:xVal>
          <c:yVal>
            <c:numRef>
              <c:f>'13=BYE'!$D$13:$D$60</c:f>
              <c:numCache>
                <c:formatCode>#,##0</c:formatCode>
                <c:ptCount val="48"/>
                <c:pt idx="0">
                  <c:v>560800.76741469896</c:v>
                </c:pt>
                <c:pt idx="1">
                  <c:v>491920.16191207559</c:v>
                </c:pt>
                <c:pt idx="2">
                  <c:v>836133.8820333922</c:v>
                </c:pt>
                <c:pt idx="3">
                  <c:v>1126848.439217363</c:v>
                </c:pt>
                <c:pt idx="4">
                  <c:v>886578.61449924554</c:v>
                </c:pt>
                <c:pt idx="5">
                  <c:v>707854.19432154007</c:v>
                </c:pt>
                <c:pt idx="6">
                  <c:v>592986.4878251045</c:v>
                </c:pt>
                <c:pt idx="7">
                  <c:v>638486.34876982134</c:v>
                </c:pt>
                <c:pt idx="8">
                  <c:v>346614.00262167363</c:v>
                </c:pt>
                <c:pt idx="9">
                  <c:v>940919.76351097296</c:v>
                </c:pt>
                <c:pt idx="10">
                  <c:v>846188.38728043251</c:v>
                </c:pt>
                <c:pt idx="11">
                  <c:v>297364.96532358415</c:v>
                </c:pt>
                <c:pt idx="12">
                  <c:v>442734.39909796033</c:v>
                </c:pt>
                <c:pt idx="13">
                  <c:v>410835.62987088464</c:v>
                </c:pt>
                <c:pt idx="14">
                  <c:v>897075.92530656559</c:v>
                </c:pt>
                <c:pt idx="15">
                  <c:v>1351823.9406582871</c:v>
                </c:pt>
                <c:pt idx="16">
                  <c:v>817109.74979398493</c:v>
                </c:pt>
                <c:pt idx="17">
                  <c:v>1424421.7932741994</c:v>
                </c:pt>
                <c:pt idx="18">
                  <c:v>1044206.836082815</c:v>
                </c:pt>
                <c:pt idx="19">
                  <c:v>729707.86718836357</c:v>
                </c:pt>
                <c:pt idx="20">
                  <c:v>1361112.3412895144</c:v>
                </c:pt>
                <c:pt idx="21">
                  <c:v>536879.18023254443</c:v>
                </c:pt>
                <c:pt idx="22">
                  <c:v>1012944.0742998301</c:v>
                </c:pt>
                <c:pt idx="23">
                  <c:v>641426.45512191299</c:v>
                </c:pt>
                <c:pt idx="24">
                  <c:v>1292395.1381037389</c:v>
                </c:pt>
                <c:pt idx="25">
                  <c:v>1075295.1477904324</c:v>
                </c:pt>
                <c:pt idx="26">
                  <c:v>1329979.1552080857</c:v>
                </c:pt>
                <c:pt idx="27">
                  <c:v>1332570.2372110838</c:v>
                </c:pt>
                <c:pt idx="28">
                  <c:v>1060308.8407004261</c:v>
                </c:pt>
                <c:pt idx="29">
                  <c:v>1989184.4640360922</c:v>
                </c:pt>
                <c:pt idx="30">
                  <c:v>2415249.6642813412</c:v>
                </c:pt>
                <c:pt idx="31">
                  <c:v>1112912.7648551823</c:v>
                </c:pt>
                <c:pt idx="32">
                  <c:v>1216630.2738301605</c:v>
                </c:pt>
                <c:pt idx="33">
                  <c:v>929769.82433363562</c:v>
                </c:pt>
                <c:pt idx="34">
                  <c:v>1671044.5816115239</c:v>
                </c:pt>
                <c:pt idx="35">
                  <c:v>1250886.8726059287</c:v>
                </c:pt>
                <c:pt idx="36">
                  <c:v>1379966.5856725546</c:v>
                </c:pt>
                <c:pt idx="37">
                  <c:v>996194.75347909459</c:v>
                </c:pt>
                <c:pt idx="38">
                  <c:v>1434375.124038063</c:v>
                </c:pt>
                <c:pt idx="39">
                  <c:v>1472393.5551385009</c:v>
                </c:pt>
                <c:pt idx="40">
                  <c:v>2281728.634522045</c:v>
                </c:pt>
                <c:pt idx="41">
                  <c:v>796157.21431067027</c:v>
                </c:pt>
                <c:pt idx="42">
                  <c:v>940457.62252988853</c:v>
                </c:pt>
                <c:pt idx="43">
                  <c:v>730494.56928830943</c:v>
                </c:pt>
                <c:pt idx="44">
                  <c:v>1832418.5211423838</c:v>
                </c:pt>
                <c:pt idx="45">
                  <c:v>2079282.070390793</c:v>
                </c:pt>
                <c:pt idx="46">
                  <c:v>1478040.9578396173</c:v>
                </c:pt>
                <c:pt idx="47">
                  <c:v>1875957.0948617512</c:v>
                </c:pt>
              </c:numCache>
            </c:numRef>
          </c:yVal>
          <c:smooth val="0"/>
        </c:ser>
        <c:ser>
          <c:idx val="2"/>
          <c:order val="1"/>
          <c:tx>
            <c:v>Upper 80%</c:v>
          </c:tx>
          <c:spPr>
            <a:ln w="12700">
              <a:solidFill>
                <a:srgbClr val="0000FF"/>
              </a:solidFill>
              <a:prstDash val="solid"/>
            </a:ln>
          </c:spPr>
          <c:marker>
            <c:symbol val="none"/>
          </c:marker>
          <c:xVal>
            <c:numRef>
              <c:f>'13=BYE'!$U$13:$U$60</c:f>
              <c:numCache>
                <c:formatCode>General</c:formatCode>
                <c:ptCount val="48"/>
                <c:pt idx="0">
                  <c:v>416093.18072477408</c:v>
                </c:pt>
                <c:pt idx="1">
                  <c:v>271007.35305366298</c:v>
                </c:pt>
                <c:pt idx="2">
                  <c:v>233990.19926972012</c:v>
                </c:pt>
                <c:pt idx="3">
                  <c:v>373563.22002911044</c:v>
                </c:pt>
                <c:pt idx="4">
                  <c:v>374673.10456808144</c:v>
                </c:pt>
                <c:pt idx="5">
                  <c:v>152518.20574374442</c:v>
                </c:pt>
                <c:pt idx="6">
                  <c:v>234701.76831870052</c:v>
                </c:pt>
                <c:pt idx="7">
                  <c:v>527822.37255732983</c:v>
                </c:pt>
                <c:pt idx="8">
                  <c:v>329729.48946597357</c:v>
                </c:pt>
                <c:pt idx="9">
                  <c:v>585402.09872581216</c:v>
                </c:pt>
                <c:pt idx="10">
                  <c:v>408348.74565424217</c:v>
                </c:pt>
                <c:pt idx="11">
                  <c:v>432244.89386258059</c:v>
                </c:pt>
                <c:pt idx="12">
                  <c:v>209834.48285271373</c:v>
                </c:pt>
                <c:pt idx="13">
                  <c:v>172586.43317981472</c:v>
                </c:pt>
                <c:pt idx="14">
                  <c:v>248496.46908689401</c:v>
                </c:pt>
                <c:pt idx="15">
                  <c:v>357096.4249518197</c:v>
                </c:pt>
                <c:pt idx="16">
                  <c:v>234393.70547443983</c:v>
                </c:pt>
                <c:pt idx="17">
                  <c:v>507703.14743589744</c:v>
                </c:pt>
                <c:pt idx="18">
                  <c:v>609245.6797237664</c:v>
                </c:pt>
                <c:pt idx="19">
                  <c:v>779344.03185492684</c:v>
                </c:pt>
                <c:pt idx="20">
                  <c:v>609259.17976030742</c:v>
                </c:pt>
                <c:pt idx="21">
                  <c:v>689904.86811018642</c:v>
                </c:pt>
                <c:pt idx="22">
                  <c:v>837471.73615241167</c:v>
                </c:pt>
                <c:pt idx="23">
                  <c:v>644071.2163551402</c:v>
                </c:pt>
                <c:pt idx="24">
                  <c:v>512181.00557456672</c:v>
                </c:pt>
                <c:pt idx="25">
                  <c:v>505998.99389258347</c:v>
                </c:pt>
                <c:pt idx="26">
                  <c:v>495779.97595582763</c:v>
                </c:pt>
                <c:pt idx="27">
                  <c:v>581067.37842492911</c:v>
                </c:pt>
                <c:pt idx="28">
                  <c:v>619668.01983819774</c:v>
                </c:pt>
                <c:pt idx="29">
                  <c:v>567389.92208594619</c:v>
                </c:pt>
                <c:pt idx="30">
                  <c:v>558331.04056437232</c:v>
                </c:pt>
                <c:pt idx="31">
                  <c:v>652721.10807092034</c:v>
                </c:pt>
                <c:pt idx="32">
                  <c:v>614989.28339619539</c:v>
                </c:pt>
                <c:pt idx="33">
                  <c:v>528715.42146727804</c:v>
                </c:pt>
                <c:pt idx="34">
                  <c:v>674836.32951188635</c:v>
                </c:pt>
                <c:pt idx="35">
                  <c:v>900332.70692073856</c:v>
                </c:pt>
                <c:pt idx="36">
                  <c:v>635380.79722662957</c:v>
                </c:pt>
                <c:pt idx="37">
                  <c:v>648887</c:v>
                </c:pt>
                <c:pt idx="38">
                  <c:v>537592</c:v>
                </c:pt>
                <c:pt idx="39">
                  <c:v>680513</c:v>
                </c:pt>
                <c:pt idx="40">
                  <c:v>732389</c:v>
                </c:pt>
                <c:pt idx="41">
                  <c:v>653564</c:v>
                </c:pt>
                <c:pt idx="42">
                  <c:v>586352</c:v>
                </c:pt>
                <c:pt idx="43">
                  <c:v>631646.30056050722</c:v>
                </c:pt>
                <c:pt idx="44">
                  <c:v>777081</c:v>
                </c:pt>
                <c:pt idx="45">
                  <c:v>786913</c:v>
                </c:pt>
                <c:pt idx="46">
                  <c:v>615240</c:v>
                </c:pt>
                <c:pt idx="47">
                  <c:v>604964</c:v>
                </c:pt>
              </c:numCache>
            </c:numRef>
          </c:xVal>
          <c:yVal>
            <c:numRef>
              <c:f>'13=BYE'!$Z$13:$Z$60</c:f>
              <c:numCache>
                <c:formatCode>#,##0</c:formatCode>
                <c:ptCount val="48"/>
                <c:pt idx="0">
                  <c:v>1530566.329302683</c:v>
                </c:pt>
                <c:pt idx="1">
                  <c:v>1335765.5924068799</c:v>
                </c:pt>
                <c:pt idx="2">
                  <c:v>1286064.1918590362</c:v>
                </c:pt>
                <c:pt idx="3">
                  <c:v>1473463.1110445536</c:v>
                </c:pt>
                <c:pt idx="4">
                  <c:v>1474953.3070859676</c:v>
                </c:pt>
                <c:pt idx="5">
                  <c:v>1176675.1176125356</c:v>
                </c:pt>
                <c:pt idx="6">
                  <c:v>1287019.5861750669</c:v>
                </c:pt>
                <c:pt idx="7">
                  <c:v>1680580.4916169536</c:v>
                </c:pt>
                <c:pt idx="8">
                  <c:v>1414609.3749377611</c:v>
                </c:pt>
                <c:pt idx="9">
                  <c:v>1757890.4071884821</c:v>
                </c:pt>
                <c:pt idx="10">
                  <c:v>1520168.196812436</c:v>
                </c:pt>
                <c:pt idx="11">
                  <c:v>1552252.5661452413</c:v>
                </c:pt>
                <c:pt idx="12">
                  <c:v>1253631.3110338622</c:v>
                </c:pt>
                <c:pt idx="13">
                  <c:v>1203619.8961308131</c:v>
                </c:pt>
                <c:pt idx="14">
                  <c:v>1305541.1600464499</c:v>
                </c:pt>
                <c:pt idx="15">
                  <c:v>1451353.8267205192</c:v>
                </c:pt>
                <c:pt idx="16">
                  <c:v>1286605.962942285</c:v>
                </c:pt>
                <c:pt idx="17">
                  <c:v>1653567.2406169185</c:v>
                </c:pt>
                <c:pt idx="18">
                  <c:v>1789904.1967032319</c:v>
                </c:pt>
                <c:pt idx="19">
                  <c:v>2018288.2151273112</c:v>
                </c:pt>
                <c:pt idx="20">
                  <c:v>1789922.3226436395</c:v>
                </c:pt>
                <c:pt idx="21">
                  <c:v>1898201.9511242216</c:v>
                </c:pt>
                <c:pt idx="22">
                  <c:v>2096333.8782563093</c:v>
                </c:pt>
                <c:pt idx="23">
                  <c:v>1836663.0035934672</c:v>
                </c:pt>
                <c:pt idx="24">
                  <c:v>1659579.4754377101</c:v>
                </c:pt>
                <c:pt idx="25">
                  <c:v>1651279.1441753162</c:v>
                </c:pt>
                <c:pt idx="26">
                  <c:v>1637558.4916733778</c:v>
                </c:pt>
                <c:pt idx="27">
                  <c:v>1752070.3576191789</c:v>
                </c:pt>
                <c:pt idx="28">
                  <c:v>1803897.8414792903</c:v>
                </c:pt>
                <c:pt idx="29">
                  <c:v>1733706.2029911075</c:v>
                </c:pt>
                <c:pt idx="30">
                  <c:v>1721543.2176452563</c:v>
                </c:pt>
                <c:pt idx="31">
                  <c:v>1848276.8552518282</c:v>
                </c:pt>
                <c:pt idx="32">
                  <c:v>1797615.8956733267</c:v>
                </c:pt>
                <c:pt idx="33">
                  <c:v>1681779.5514323357</c:v>
                </c:pt>
                <c:pt idx="34">
                  <c:v>1877970.0479121055</c:v>
                </c:pt>
                <c:pt idx="35">
                  <c:v>2180734.7024044413</c:v>
                </c:pt>
                <c:pt idx="36">
                  <c:v>1824994.737455131</c:v>
                </c:pt>
                <c:pt idx="37">
                  <c:v>1843128.9570074421</c:v>
                </c:pt>
                <c:pt idx="38">
                  <c:v>1693697.7660990879</c:v>
                </c:pt>
                <c:pt idx="39">
                  <c:v>1885591.8784654378</c:v>
                </c:pt>
                <c:pt idx="40">
                  <c:v>1955243.6369412164</c:v>
                </c:pt>
                <c:pt idx="41">
                  <c:v>1849408.5713645867</c:v>
                </c:pt>
                <c:pt idx="42">
                  <c:v>1759165.8003206733</c:v>
                </c:pt>
                <c:pt idx="43">
                  <c:v>1819980.5833218643</c:v>
                </c:pt>
                <c:pt idx="44">
                  <c:v>2015249.7359041185</c:v>
                </c:pt>
                <c:pt idx="45">
                  <c:v>2028450.7554378887</c:v>
                </c:pt>
                <c:pt idx="46">
                  <c:v>1797952.5224821409</c:v>
                </c:pt>
                <c:pt idx="47">
                  <c:v>1784155.3625219068</c:v>
                </c:pt>
              </c:numCache>
            </c:numRef>
          </c:yVal>
          <c:smooth val="0"/>
        </c:ser>
        <c:ser>
          <c:idx val="3"/>
          <c:order val="2"/>
          <c:tx>
            <c:v>2002</c:v>
          </c:tx>
          <c:spPr>
            <a:ln w="28575">
              <a:noFill/>
            </a:ln>
          </c:spPr>
          <c:marker>
            <c:symbol val="square"/>
            <c:size val="10"/>
            <c:spPr>
              <a:solidFill>
                <a:srgbClr val="FF0000"/>
              </a:solidFill>
              <a:ln>
                <a:solidFill>
                  <a:srgbClr val="000000"/>
                </a:solidFill>
                <a:prstDash val="solid"/>
              </a:ln>
            </c:spPr>
          </c:marker>
          <c:xVal>
            <c:numRef>
              <c:f>'13=BYE'!$U$13:$U$62</c:f>
              <c:numCache>
                <c:formatCode>General</c:formatCode>
                <c:ptCount val="50"/>
                <c:pt idx="0">
                  <c:v>416093.18072477408</c:v>
                </c:pt>
                <c:pt idx="1">
                  <c:v>271007.35305366298</c:v>
                </c:pt>
                <c:pt idx="2">
                  <c:v>233990.19926972012</c:v>
                </c:pt>
                <c:pt idx="3">
                  <c:v>373563.22002911044</c:v>
                </c:pt>
                <c:pt idx="4">
                  <c:v>374673.10456808144</c:v>
                </c:pt>
                <c:pt idx="5">
                  <c:v>152518.20574374442</c:v>
                </c:pt>
                <c:pt idx="6">
                  <c:v>234701.76831870052</c:v>
                </c:pt>
                <c:pt idx="7">
                  <c:v>527822.37255732983</c:v>
                </c:pt>
                <c:pt idx="8">
                  <c:v>329729.48946597357</c:v>
                </c:pt>
                <c:pt idx="9">
                  <c:v>585402.09872581216</c:v>
                </c:pt>
                <c:pt idx="10">
                  <c:v>408348.74565424217</c:v>
                </c:pt>
                <c:pt idx="11">
                  <c:v>432244.89386258059</c:v>
                </c:pt>
                <c:pt idx="12">
                  <c:v>209834.48285271373</c:v>
                </c:pt>
                <c:pt idx="13">
                  <c:v>172586.43317981472</c:v>
                </c:pt>
                <c:pt idx="14">
                  <c:v>248496.46908689401</c:v>
                </c:pt>
                <c:pt idx="15">
                  <c:v>357096.4249518197</c:v>
                </c:pt>
                <c:pt idx="16">
                  <c:v>234393.70547443983</c:v>
                </c:pt>
                <c:pt idx="17">
                  <c:v>507703.14743589744</c:v>
                </c:pt>
                <c:pt idx="18">
                  <c:v>609245.6797237664</c:v>
                </c:pt>
                <c:pt idx="19">
                  <c:v>779344.03185492684</c:v>
                </c:pt>
                <c:pt idx="20">
                  <c:v>609259.17976030742</c:v>
                </c:pt>
                <c:pt idx="21">
                  <c:v>689904.86811018642</c:v>
                </c:pt>
                <c:pt idx="22">
                  <c:v>837471.73615241167</c:v>
                </c:pt>
                <c:pt idx="23">
                  <c:v>644071.2163551402</c:v>
                </c:pt>
                <c:pt idx="24">
                  <c:v>512181.00557456672</c:v>
                </c:pt>
                <c:pt idx="25">
                  <c:v>505998.99389258347</c:v>
                </c:pt>
                <c:pt idx="26">
                  <c:v>495779.97595582763</c:v>
                </c:pt>
                <c:pt idx="27">
                  <c:v>581067.37842492911</c:v>
                </c:pt>
                <c:pt idx="28">
                  <c:v>619668.01983819774</c:v>
                </c:pt>
                <c:pt idx="29">
                  <c:v>567389.92208594619</c:v>
                </c:pt>
                <c:pt idx="30">
                  <c:v>558331.04056437232</c:v>
                </c:pt>
                <c:pt idx="31">
                  <c:v>652721.10807092034</c:v>
                </c:pt>
                <c:pt idx="32">
                  <c:v>614989.28339619539</c:v>
                </c:pt>
                <c:pt idx="33">
                  <c:v>528715.42146727804</c:v>
                </c:pt>
                <c:pt idx="34">
                  <c:v>674836.32951188635</c:v>
                </c:pt>
                <c:pt idx="35">
                  <c:v>900332.70692073856</c:v>
                </c:pt>
                <c:pt idx="36">
                  <c:v>635380.79722662957</c:v>
                </c:pt>
                <c:pt idx="37">
                  <c:v>648887</c:v>
                </c:pt>
                <c:pt idx="38">
                  <c:v>537592</c:v>
                </c:pt>
                <c:pt idx="39">
                  <c:v>680513</c:v>
                </c:pt>
                <c:pt idx="40">
                  <c:v>732389</c:v>
                </c:pt>
                <c:pt idx="41">
                  <c:v>653564</c:v>
                </c:pt>
                <c:pt idx="42">
                  <c:v>586352</c:v>
                </c:pt>
                <c:pt idx="43">
                  <c:v>631646.30056050722</c:v>
                </c:pt>
                <c:pt idx="44">
                  <c:v>777081</c:v>
                </c:pt>
                <c:pt idx="45">
                  <c:v>786913</c:v>
                </c:pt>
                <c:pt idx="46">
                  <c:v>615240</c:v>
                </c:pt>
                <c:pt idx="47">
                  <c:v>604964</c:v>
                </c:pt>
                <c:pt idx="49">
                  <c:v>668242</c:v>
                </c:pt>
              </c:numCache>
            </c:numRef>
          </c:xVal>
          <c:yVal>
            <c:numRef>
              <c:f>'13=BYE'!$AA$13:$AA$62</c:f>
              <c:numCache>
                <c:formatCode>0.0000_)</c:formatCode>
                <c:ptCount val="50"/>
                <c:pt idx="49" formatCode="#,##0">
                  <c:v>1290782.6676158174</c:v>
                </c:pt>
              </c:numCache>
            </c:numRef>
          </c:yVal>
          <c:smooth val="0"/>
        </c:ser>
        <c:ser>
          <c:idx val="1"/>
          <c:order val="3"/>
          <c:tx>
            <c:v>Lower 80%</c:v>
          </c:tx>
          <c:spPr>
            <a:ln w="28575">
              <a:solidFill>
                <a:srgbClr val="0000FF"/>
              </a:solidFill>
            </a:ln>
          </c:spPr>
          <c:marker>
            <c:symbol val="none"/>
          </c:marker>
          <c:xVal>
            <c:numRef>
              <c:f>'13=BYE'!$U$13:$U$60</c:f>
              <c:numCache>
                <c:formatCode>General</c:formatCode>
                <c:ptCount val="48"/>
                <c:pt idx="0">
                  <c:v>416093.18072477408</c:v>
                </c:pt>
                <c:pt idx="1">
                  <c:v>271007.35305366298</c:v>
                </c:pt>
                <c:pt idx="2">
                  <c:v>233990.19926972012</c:v>
                </c:pt>
                <c:pt idx="3">
                  <c:v>373563.22002911044</c:v>
                </c:pt>
                <c:pt idx="4">
                  <c:v>374673.10456808144</c:v>
                </c:pt>
                <c:pt idx="5">
                  <c:v>152518.20574374442</c:v>
                </c:pt>
                <c:pt idx="6">
                  <c:v>234701.76831870052</c:v>
                </c:pt>
                <c:pt idx="7">
                  <c:v>527822.37255732983</c:v>
                </c:pt>
                <c:pt idx="8">
                  <c:v>329729.48946597357</c:v>
                </c:pt>
                <c:pt idx="9">
                  <c:v>585402.09872581216</c:v>
                </c:pt>
                <c:pt idx="10">
                  <c:v>408348.74565424217</c:v>
                </c:pt>
                <c:pt idx="11">
                  <c:v>432244.89386258059</c:v>
                </c:pt>
                <c:pt idx="12">
                  <c:v>209834.48285271373</c:v>
                </c:pt>
                <c:pt idx="13">
                  <c:v>172586.43317981472</c:v>
                </c:pt>
                <c:pt idx="14">
                  <c:v>248496.46908689401</c:v>
                </c:pt>
                <c:pt idx="15">
                  <c:v>357096.4249518197</c:v>
                </c:pt>
                <c:pt idx="16">
                  <c:v>234393.70547443983</c:v>
                </c:pt>
                <c:pt idx="17">
                  <c:v>507703.14743589744</c:v>
                </c:pt>
                <c:pt idx="18">
                  <c:v>609245.6797237664</c:v>
                </c:pt>
                <c:pt idx="19">
                  <c:v>779344.03185492684</c:v>
                </c:pt>
                <c:pt idx="20">
                  <c:v>609259.17976030742</c:v>
                </c:pt>
                <c:pt idx="21">
                  <c:v>689904.86811018642</c:v>
                </c:pt>
                <c:pt idx="22">
                  <c:v>837471.73615241167</c:v>
                </c:pt>
                <c:pt idx="23">
                  <c:v>644071.2163551402</c:v>
                </c:pt>
                <c:pt idx="24">
                  <c:v>512181.00557456672</c:v>
                </c:pt>
                <c:pt idx="25">
                  <c:v>505998.99389258347</c:v>
                </c:pt>
                <c:pt idx="26">
                  <c:v>495779.97595582763</c:v>
                </c:pt>
                <c:pt idx="27">
                  <c:v>581067.37842492911</c:v>
                </c:pt>
                <c:pt idx="28">
                  <c:v>619668.01983819774</c:v>
                </c:pt>
                <c:pt idx="29">
                  <c:v>567389.92208594619</c:v>
                </c:pt>
                <c:pt idx="30">
                  <c:v>558331.04056437232</c:v>
                </c:pt>
                <c:pt idx="31">
                  <c:v>652721.10807092034</c:v>
                </c:pt>
                <c:pt idx="32">
                  <c:v>614989.28339619539</c:v>
                </c:pt>
                <c:pt idx="33">
                  <c:v>528715.42146727804</c:v>
                </c:pt>
                <c:pt idx="34">
                  <c:v>674836.32951188635</c:v>
                </c:pt>
                <c:pt idx="35">
                  <c:v>900332.70692073856</c:v>
                </c:pt>
                <c:pt idx="36">
                  <c:v>635380.79722662957</c:v>
                </c:pt>
                <c:pt idx="37">
                  <c:v>648887</c:v>
                </c:pt>
                <c:pt idx="38">
                  <c:v>537592</c:v>
                </c:pt>
                <c:pt idx="39">
                  <c:v>680513</c:v>
                </c:pt>
                <c:pt idx="40">
                  <c:v>732389</c:v>
                </c:pt>
                <c:pt idx="41">
                  <c:v>653564</c:v>
                </c:pt>
                <c:pt idx="42">
                  <c:v>586352</c:v>
                </c:pt>
                <c:pt idx="43">
                  <c:v>631646.30056050722</c:v>
                </c:pt>
                <c:pt idx="44">
                  <c:v>777081</c:v>
                </c:pt>
                <c:pt idx="45">
                  <c:v>786913</c:v>
                </c:pt>
                <c:pt idx="46">
                  <c:v>615240</c:v>
                </c:pt>
                <c:pt idx="47">
                  <c:v>604964</c:v>
                </c:pt>
              </c:numCache>
            </c:numRef>
          </c:xVal>
          <c:yVal>
            <c:numRef>
              <c:f>'13=BYE'!$Y$13:$Y$60</c:f>
              <c:numCache>
                <c:formatCode>#,##0</c:formatCode>
                <c:ptCount val="48"/>
                <c:pt idx="0">
                  <c:v>373899.43541037675</c:v>
                </c:pt>
                <c:pt idx="1">
                  <c:v>179098.69851457374</c:v>
                </c:pt>
                <c:pt idx="2">
                  <c:v>129397.29796672997</c:v>
                </c:pt>
                <c:pt idx="3">
                  <c:v>316796.21715224732</c:v>
                </c:pt>
                <c:pt idx="4">
                  <c:v>318286.4131936616</c:v>
                </c:pt>
                <c:pt idx="5">
                  <c:v>20008.223720229347</c:v>
                </c:pt>
                <c:pt idx="6">
                  <c:v>130352.69228276087</c:v>
                </c:pt>
                <c:pt idx="7">
                  <c:v>523913.59772464761</c:v>
                </c:pt>
                <c:pt idx="8">
                  <c:v>257942.48104545486</c:v>
                </c:pt>
                <c:pt idx="9">
                  <c:v>601223.51329617586</c:v>
                </c:pt>
                <c:pt idx="10">
                  <c:v>363501.30292012997</c:v>
                </c:pt>
                <c:pt idx="11">
                  <c:v>395585.67225293512</c:v>
                </c:pt>
                <c:pt idx="12">
                  <c:v>96964.417141555925</c:v>
                </c:pt>
                <c:pt idx="13">
                  <c:v>46953.002238506917</c:v>
                </c:pt>
                <c:pt idx="14">
                  <c:v>148874.26615414361</c:v>
                </c:pt>
                <c:pt idx="15">
                  <c:v>294686.93282821309</c:v>
                </c:pt>
                <c:pt idx="16">
                  <c:v>129939.06904997875</c:v>
                </c:pt>
                <c:pt idx="17">
                  <c:v>496900.34672461229</c:v>
                </c:pt>
                <c:pt idx="18">
                  <c:v>633237.30281092587</c:v>
                </c:pt>
                <c:pt idx="19">
                  <c:v>861621.32123500516</c:v>
                </c:pt>
                <c:pt idx="20">
                  <c:v>633255.42875133327</c:v>
                </c:pt>
                <c:pt idx="21">
                  <c:v>741535.05723191553</c:v>
                </c:pt>
                <c:pt idx="22">
                  <c:v>939666.98436400306</c:v>
                </c:pt>
                <c:pt idx="23">
                  <c:v>679996.10970116092</c:v>
                </c:pt>
                <c:pt idx="24">
                  <c:v>502912.58154540404</c:v>
                </c:pt>
                <c:pt idx="25">
                  <c:v>494612.25028301019</c:v>
                </c:pt>
                <c:pt idx="26">
                  <c:v>480891.59778107179</c:v>
                </c:pt>
                <c:pt idx="27">
                  <c:v>595403.46372687293</c:v>
                </c:pt>
                <c:pt idx="28">
                  <c:v>647230.94758698402</c:v>
                </c:pt>
                <c:pt idx="29">
                  <c:v>577039.30909880123</c:v>
                </c:pt>
                <c:pt idx="30">
                  <c:v>564876.32375295029</c:v>
                </c:pt>
                <c:pt idx="31">
                  <c:v>691609.96135952219</c:v>
                </c:pt>
                <c:pt idx="32">
                  <c:v>640949.00178102043</c:v>
                </c:pt>
                <c:pt idx="33">
                  <c:v>525112.65754002973</c:v>
                </c:pt>
                <c:pt idx="34">
                  <c:v>721303.15401979943</c:v>
                </c:pt>
                <c:pt idx="35">
                  <c:v>1024067.8085121351</c:v>
                </c:pt>
                <c:pt idx="36">
                  <c:v>668327.843562825</c:v>
                </c:pt>
                <c:pt idx="37">
                  <c:v>686462.06311513612</c:v>
                </c:pt>
                <c:pt idx="38">
                  <c:v>537030.87220678187</c:v>
                </c:pt>
                <c:pt idx="39">
                  <c:v>728924.98457313178</c:v>
                </c:pt>
                <c:pt idx="40">
                  <c:v>798576.7430489104</c:v>
                </c:pt>
                <c:pt idx="41">
                  <c:v>692741.67747228045</c:v>
                </c:pt>
                <c:pt idx="42">
                  <c:v>602498.90642836725</c:v>
                </c:pt>
                <c:pt idx="43">
                  <c:v>663313.68942955823</c:v>
                </c:pt>
                <c:pt idx="44">
                  <c:v>858582.84201181226</c:v>
                </c:pt>
                <c:pt idx="45">
                  <c:v>871783.86154558242</c:v>
                </c:pt>
                <c:pt idx="46">
                  <c:v>641285.6285898349</c:v>
                </c:pt>
                <c:pt idx="47">
                  <c:v>627488.46862960083</c:v>
                </c:pt>
              </c:numCache>
            </c:numRef>
          </c:yVal>
          <c:smooth val="0"/>
        </c:ser>
        <c:dLbls>
          <c:showLegendKey val="0"/>
          <c:showVal val="0"/>
          <c:showCatName val="0"/>
          <c:showSerName val="0"/>
          <c:showPercent val="0"/>
          <c:showBubbleSize val="0"/>
        </c:dLbls>
        <c:axId val="365643648"/>
        <c:axId val="365662208"/>
      </c:scatterChart>
      <c:valAx>
        <c:axId val="365643648"/>
        <c:scaling>
          <c:orientation val="minMax"/>
        </c:scaling>
        <c:delete val="0"/>
        <c:axPos val="b"/>
        <c:title>
          <c:tx>
            <c:rich>
              <a:bodyPr/>
              <a:lstStyle/>
              <a:p>
                <a:pPr>
                  <a:defRPr sz="1200" b="1" i="0" u="none" strike="noStrike" baseline="0">
                    <a:solidFill>
                      <a:srgbClr val="000000"/>
                    </a:solidFill>
                    <a:latin typeface="Arial"/>
                    <a:ea typeface="Arial"/>
                    <a:cs typeface="Arial"/>
                  </a:defRPr>
                </a:pPr>
                <a:r>
                  <a:rPr lang="en-US"/>
                  <a:t>Brood Year Escapement</a:t>
                </a:r>
              </a:p>
            </c:rich>
          </c:tx>
          <c:layout>
            <c:manualLayout>
              <c:xMode val="edge"/>
              <c:yMode val="edge"/>
              <c:x val="0.43462572064485827"/>
              <c:y val="0.91499132783840664"/>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365662208"/>
        <c:crosses val="autoZero"/>
        <c:crossBetween val="midCat"/>
      </c:valAx>
      <c:valAx>
        <c:axId val="365662208"/>
        <c:scaling>
          <c:orientation val="minMax"/>
        </c:scaling>
        <c:delete val="0"/>
        <c:axPos val="l"/>
        <c:majorGridlines>
          <c:spPr>
            <a:ln w="3175">
              <a:solidFill>
                <a:srgbClr val="969696"/>
              </a:solidFill>
              <a:prstDash val="sysDash"/>
            </a:ln>
          </c:spPr>
        </c:majorGridlines>
        <c:title>
          <c:tx>
            <c:rich>
              <a:bodyPr/>
              <a:lstStyle/>
              <a:p>
                <a:pPr>
                  <a:defRPr sz="1200" b="1" i="0" u="none" strike="noStrike" baseline="0">
                    <a:solidFill>
                      <a:srgbClr val="000000"/>
                    </a:solidFill>
                    <a:latin typeface="Arial"/>
                    <a:ea typeface="Arial"/>
                    <a:cs typeface="Arial"/>
                  </a:defRPr>
                </a:pPr>
                <a:r>
                  <a:rPr lang="en-US"/>
                  <a:t>Number</a:t>
                </a:r>
                <a:r>
                  <a:rPr lang="en-US" baseline="0"/>
                  <a:t> Age</a:t>
                </a:r>
                <a:r>
                  <a:rPr lang="en-US"/>
                  <a:t> 1.3</a:t>
                </a:r>
              </a:p>
            </c:rich>
          </c:tx>
          <c:layout>
            <c:manualLayout>
              <c:xMode val="edge"/>
              <c:yMode val="edge"/>
              <c:x val="1.738507442270042E-2"/>
              <c:y val="0.4282938609282028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365643648"/>
        <c:crosses val="autoZero"/>
        <c:crossBetween val="midCat"/>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0455" r="0.75000000000000455" t="1" header="0.5" footer="0.5"/>
    <c:pageSetup orientation="landscape"/>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51865322750071"/>
          <c:y val="6.0507635886762084E-2"/>
          <c:w val="0.83936846354413464"/>
          <c:h val="0.71438047530821835"/>
        </c:manualLayout>
      </c:layout>
      <c:barChart>
        <c:barDir val="col"/>
        <c:grouping val="clustered"/>
        <c:varyColors val="0"/>
        <c:ser>
          <c:idx val="0"/>
          <c:order val="0"/>
          <c:spPr>
            <a:ln w="12700">
              <a:solidFill>
                <a:srgbClr val="000080"/>
              </a:solidFill>
              <a:prstDash val="solid"/>
            </a:ln>
          </c:spPr>
          <c:invertIfNegative val="0"/>
          <c:dLbls>
            <c:dLbl>
              <c:idx val="14"/>
              <c:layout>
                <c:manualLayout>
                  <c:x val="-6.617357739590185E-2"/>
                  <c:y val="1.6387062130495567E-2"/>
                </c:manualLayout>
              </c:layout>
              <c:showLegendKey val="0"/>
              <c:showVal val="1"/>
              <c:showCatName val="0"/>
              <c:showSerName val="0"/>
              <c:showPercent val="0"/>
              <c:showBubbleSize val="0"/>
            </c:dLbl>
            <c:dLbl>
              <c:idx val="15"/>
              <c:layout>
                <c:manualLayout>
                  <c:x val="-3.0860600783525861E-2"/>
                  <c:y val="3.7308868591116956E-2"/>
                </c:manualLayout>
              </c:layout>
              <c:showLegendKey val="0"/>
              <c:showVal val="1"/>
              <c:showCatName val="0"/>
              <c:showSerName val="0"/>
              <c:showPercent val="0"/>
              <c:showBubbleSize val="0"/>
            </c:dLbl>
            <c:dLbl>
              <c:idx val="29"/>
              <c:layout>
                <c:manualLayout>
                  <c:x val="-4.7904066460517744E-2"/>
                  <c:y val="3.327358966021611E-2"/>
                </c:manualLayout>
              </c:layout>
              <c:showLegendKey val="0"/>
              <c:showVal val="1"/>
              <c:showCatName val="0"/>
              <c:showSerName val="0"/>
              <c:showPercent val="0"/>
              <c:showBubbleSize val="0"/>
            </c:dLbl>
            <c:dLbl>
              <c:idx val="30"/>
              <c:layout>
                <c:manualLayout>
                  <c:x val="-1.8917987814554539E-2"/>
                  <c:y val="4.1800378433876711E-2"/>
                </c:manualLayout>
              </c:layout>
              <c:showLegendKey val="0"/>
              <c:showVal val="1"/>
              <c:showCatName val="0"/>
              <c:showSerName val="0"/>
              <c:showPercent val="0"/>
              <c:showBubbleSize val="0"/>
            </c:dLbl>
            <c:dLbl>
              <c:idx val="34"/>
              <c:layout>
                <c:manualLayout>
                  <c:x val="-4.3220132977492366E-2"/>
                  <c:y val="2.8222833903298477E-2"/>
                </c:manualLayout>
              </c:layout>
              <c:showLegendKey val="0"/>
              <c:showVal val="1"/>
              <c:showCatName val="0"/>
              <c:showSerName val="0"/>
              <c:showPercent val="0"/>
              <c:showBubbleSize val="0"/>
            </c:dLbl>
            <c:numFmt formatCode="0%" sourceLinked="0"/>
            <c:spPr>
              <a:noFill/>
              <a:ln w="25400">
                <a:noFill/>
              </a:ln>
            </c:spPr>
            <c:txPr>
              <a:bodyPr/>
              <a:lstStyle/>
              <a:p>
                <a:pPr algn="ctr" rtl="1">
                  <a:defRPr sz="9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numRef>
              <c:f>'13=BYE'!$B$13:$B$60</c:f>
              <c:numCache>
                <c:formatCode>0_)</c:formatCode>
                <c:ptCount val="48"/>
                <c:pt idx="0">
                  <c:v>1967</c:v>
                </c:pt>
                <c:pt idx="1">
                  <c:v>1968</c:v>
                </c:pt>
                <c:pt idx="2">
                  <c:v>1969</c:v>
                </c:pt>
                <c:pt idx="3">
                  <c:v>1970</c:v>
                </c:pt>
                <c:pt idx="4">
                  <c:v>1971</c:v>
                </c:pt>
                <c:pt idx="5">
                  <c:v>1972</c:v>
                </c:pt>
                <c:pt idx="6">
                  <c:v>1973</c:v>
                </c:pt>
                <c:pt idx="7">
                  <c:v>1974</c:v>
                </c:pt>
                <c:pt idx="8">
                  <c:v>1975</c:v>
                </c:pt>
                <c:pt idx="9">
                  <c:v>1976</c:v>
                </c:pt>
                <c:pt idx="10">
                  <c:v>1977</c:v>
                </c:pt>
                <c:pt idx="11">
                  <c:v>1978</c:v>
                </c:pt>
                <c:pt idx="12">
                  <c:v>1979</c:v>
                </c:pt>
                <c:pt idx="13">
                  <c:v>1980</c:v>
                </c:pt>
                <c:pt idx="14">
                  <c:v>1981</c:v>
                </c:pt>
                <c:pt idx="15">
                  <c:v>1982</c:v>
                </c:pt>
                <c:pt idx="16">
                  <c:v>1983</c:v>
                </c:pt>
                <c:pt idx="17">
                  <c:v>1984</c:v>
                </c:pt>
                <c:pt idx="18">
                  <c:v>1985</c:v>
                </c:pt>
                <c:pt idx="19">
                  <c:v>1986</c:v>
                </c:pt>
                <c:pt idx="20">
                  <c:v>1987</c:v>
                </c:pt>
                <c:pt idx="21">
                  <c:v>1988</c:v>
                </c:pt>
                <c:pt idx="22">
                  <c:v>1989</c:v>
                </c:pt>
                <c:pt idx="23">
                  <c:v>1990</c:v>
                </c:pt>
                <c:pt idx="24">
                  <c:v>1991</c:v>
                </c:pt>
                <c:pt idx="25">
                  <c:v>1992</c:v>
                </c:pt>
                <c:pt idx="26">
                  <c:v>1993</c:v>
                </c:pt>
                <c:pt idx="27">
                  <c:v>1994</c:v>
                </c:pt>
                <c:pt idx="28">
                  <c:v>1995</c:v>
                </c:pt>
                <c:pt idx="29">
                  <c:v>1996</c:v>
                </c:pt>
                <c:pt idx="30">
                  <c:v>1997</c:v>
                </c:pt>
                <c:pt idx="31">
                  <c:v>1998</c:v>
                </c:pt>
                <c:pt idx="32">
                  <c:v>1999</c:v>
                </c:pt>
                <c:pt idx="33">
                  <c:v>2000</c:v>
                </c:pt>
                <c:pt idx="34">
                  <c:v>2001</c:v>
                </c:pt>
                <c:pt idx="35">
                  <c:v>2002</c:v>
                </c:pt>
                <c:pt idx="36">
                  <c:v>2003</c:v>
                </c:pt>
                <c:pt idx="37">
                  <c:v>2004</c:v>
                </c:pt>
                <c:pt idx="38">
                  <c:v>2005</c:v>
                </c:pt>
                <c:pt idx="39">
                  <c:v>2006</c:v>
                </c:pt>
                <c:pt idx="40">
                  <c:v>2007</c:v>
                </c:pt>
                <c:pt idx="41">
                  <c:v>2008</c:v>
                </c:pt>
                <c:pt idx="42">
                  <c:v>2009</c:v>
                </c:pt>
                <c:pt idx="43">
                  <c:v>2010</c:v>
                </c:pt>
                <c:pt idx="44">
                  <c:v>2011</c:v>
                </c:pt>
                <c:pt idx="45">
                  <c:v>2012</c:v>
                </c:pt>
                <c:pt idx="46">
                  <c:v>2013</c:v>
                </c:pt>
                <c:pt idx="47">
                  <c:v>2014</c:v>
                </c:pt>
              </c:numCache>
            </c:numRef>
          </c:cat>
          <c:val>
            <c:numRef>
              <c:f>'13=BYE'!$S$13:$S$60</c:f>
              <c:numCache>
                <c:formatCode>0.0%</c:formatCode>
                <c:ptCount val="48"/>
                <c:pt idx="0">
                  <c:v>0.71857341035326627</c:v>
                </c:pt>
                <c:pt idx="1">
                  <c:v>0.57546087268626389</c:v>
                </c:pt>
                <c:pt idx="2">
                  <c:v>-0.16598284320871867</c:v>
                </c:pt>
                <c:pt idx="3">
                  <c:v>-0.21325157363540562</c:v>
                </c:pt>
                <c:pt idx="4">
                  <c:v>1.17427775955939E-2</c:v>
                </c:pt>
                <c:pt idx="5">
                  <c:v>-0.17360872552183568</c:v>
                </c:pt>
                <c:pt idx="6">
                  <c:v>0.2108279446046212</c:v>
                </c:pt>
                <c:pt idx="7">
                  <c:v>0.74179808433904093</c:v>
                </c:pt>
                <c:pt idx="8">
                  <c:v>1.479843728517567</c:v>
                </c:pt>
                <c:pt idx="9">
                  <c:v>0.2595636130133876</c:v>
                </c:pt>
                <c:pt idx="10">
                  <c:v>0.11649988062237533</c:v>
                </c:pt>
                <c:pt idx="11">
                  <c:v>2.3372274033330589</c:v>
                </c:pt>
                <c:pt idx="12">
                  <c:v>0.5734788490361391</c:v>
                </c:pt>
                <c:pt idx="13">
                  <c:v>0.57978990019702403</c:v>
                </c:pt>
                <c:pt idx="14">
                  <c:v>-0.20352361118783482</c:v>
                </c:pt>
                <c:pt idx="15">
                  <c:v>-0.36858930521695182</c:v>
                </c:pt>
                <c:pt idx="16">
                  <c:v>-0.1439431503267822</c:v>
                </c:pt>
                <c:pt idx="17">
                  <c:v>-0.2504250311248471</c:v>
                </c:pt>
                <c:pt idx="18">
                  <c:v>0.16438138069918329</c:v>
                </c:pt>
                <c:pt idx="19">
                  <c:v>1.0357839207128616</c:v>
                </c:pt>
                <c:pt idx="20">
                  <c:v>-0.11266611684347586</c:v>
                </c:pt>
                <c:pt idx="21">
                  <c:v>1.5147747050860687</c:v>
                </c:pt>
                <c:pt idx="22">
                  <c:v>0.54234561841214579</c:v>
                </c:pt>
                <c:pt idx="23">
                  <c:v>0.99074921516674008</c:v>
                </c:pt>
                <c:pt idx="24">
                  <c:v>-0.16688076226532203</c:v>
                </c:pt>
                <c:pt idx="25">
                  <c:v>-2.2321099956312679E-3</c:v>
                </c:pt>
                <c:pt idx="26">
                  <c:v>-0.20804654115006804</c:v>
                </c:pt>
                <c:pt idx="27">
                  <c:v>-0.12194859439625712</c:v>
                </c:pt>
                <c:pt idx="28">
                  <c:v>0.16003051419740111</c:v>
                </c:pt>
                <c:pt idx="29">
                  <c:v>-0.42851611132782763</c:v>
                </c:pt>
                <c:pt idx="30">
                  <c:v>-0.53819250998672197</c:v>
                </c:pt>
                <c:pt idx="31">
                  <c:v>0.1455457107622127</c:v>
                </c:pt>
                <c:pt idx="32">
                  <c:v>2.2371229367017563E-3</c:v>
                </c:pt>
                <c:pt idx="33">
                  <c:v>0.19076934981682006</c:v>
                </c:pt>
                <c:pt idx="34">
                  <c:v>-0.23015643668441163</c:v>
                </c:pt>
                <c:pt idx="35">
                  <c:v>0.31483220796307282</c:v>
                </c:pt>
                <c:pt idx="36">
                  <c:v>-9.9387120971846377E-2</c:v>
                </c:pt>
                <c:pt idx="37">
                  <c:v>0.27795575045972609</c:v>
                </c:pt>
                <c:pt idx="38">
                  <c:v>-0.227149470773722</c:v>
                </c:pt>
                <c:pt idx="39">
                  <c:v>-0.11626609743061589</c:v>
                </c:pt>
                <c:pt idx="40">
                  <c:v>-0.41607624742192978</c:v>
                </c:pt>
                <c:pt idx="41">
                  <c:v>0.61539629571529986</c:v>
                </c:pt>
                <c:pt idx="42">
                  <c:v>0.26160038815877129</c:v>
                </c:pt>
                <c:pt idx="43">
                  <c:v>0.71955651834903012</c:v>
                </c:pt>
                <c:pt idx="44">
                  <c:v>-0.22951250149241881</c:v>
                </c:pt>
                <c:pt idx="45">
                  <c:v>-0.3228316121336845</c:v>
                </c:pt>
                <c:pt idx="46">
                  <c:v>-0.17943257483833944</c:v>
                </c:pt>
                <c:pt idx="47">
                  <c:v>-0.36620846383891975</c:v>
                </c:pt>
              </c:numCache>
            </c:numRef>
          </c:val>
        </c:ser>
        <c:dLbls>
          <c:showLegendKey val="0"/>
          <c:showVal val="1"/>
          <c:showCatName val="0"/>
          <c:showSerName val="0"/>
          <c:showPercent val="0"/>
          <c:showBubbleSize val="0"/>
        </c:dLbls>
        <c:gapWidth val="150"/>
        <c:axId val="365669760"/>
        <c:axId val="366095744"/>
      </c:barChart>
      <c:catAx>
        <c:axId val="365669760"/>
        <c:scaling>
          <c:orientation val="minMax"/>
        </c:scaling>
        <c:delete val="0"/>
        <c:axPos val="b"/>
        <c:title>
          <c:tx>
            <c:rich>
              <a:bodyPr/>
              <a:lstStyle/>
              <a:p>
                <a:pPr>
                  <a:defRPr sz="1425" b="1" i="0" u="none" strike="noStrike" baseline="0">
                    <a:solidFill>
                      <a:srgbClr val="000000"/>
                    </a:solidFill>
                    <a:latin typeface="Arial"/>
                    <a:ea typeface="Arial"/>
                    <a:cs typeface="Arial"/>
                  </a:defRPr>
                </a:pPr>
                <a:r>
                  <a:rPr lang="en-US"/>
                  <a:t>Return Year</a:t>
                </a:r>
              </a:p>
            </c:rich>
          </c:tx>
          <c:layout>
            <c:manualLayout>
              <c:xMode val="edge"/>
              <c:yMode val="edge"/>
              <c:x val="0.50404288071585956"/>
              <c:y val="0.90761462434383644"/>
            </c:manualLayout>
          </c:layout>
          <c:overlay val="0"/>
          <c:spPr>
            <a:noFill/>
            <a:ln w="25400">
              <a:noFill/>
            </a:ln>
          </c:spPr>
        </c:title>
        <c:numFmt formatCode="0_)" sourceLinked="1"/>
        <c:majorTickMark val="out"/>
        <c:minorTickMark val="none"/>
        <c:tickLblPos val="low"/>
        <c:spPr>
          <a:ln w="3175">
            <a:solidFill>
              <a:srgbClr val="000000"/>
            </a:solidFill>
            <a:prstDash val="solid"/>
          </a:ln>
        </c:spPr>
        <c:txPr>
          <a:bodyPr rot="-2700000" vert="horz"/>
          <a:lstStyle/>
          <a:p>
            <a:pPr>
              <a:defRPr sz="1425" b="0" i="0" u="none" strike="noStrike" baseline="0">
                <a:solidFill>
                  <a:srgbClr val="000000"/>
                </a:solidFill>
                <a:latin typeface="Arial"/>
                <a:ea typeface="Arial"/>
                <a:cs typeface="Arial"/>
              </a:defRPr>
            </a:pPr>
            <a:endParaRPr lang="en-US"/>
          </a:p>
        </c:txPr>
        <c:crossAx val="366095744"/>
        <c:crosses val="autoZero"/>
        <c:auto val="1"/>
        <c:lblAlgn val="ctr"/>
        <c:lblOffset val="100"/>
        <c:tickLblSkip val="2"/>
        <c:tickMarkSkip val="1"/>
        <c:noMultiLvlLbl val="0"/>
      </c:catAx>
      <c:valAx>
        <c:axId val="366095744"/>
        <c:scaling>
          <c:orientation val="minMax"/>
        </c:scaling>
        <c:delete val="0"/>
        <c:axPos val="l"/>
        <c:title>
          <c:tx>
            <c:rich>
              <a:bodyPr/>
              <a:lstStyle/>
              <a:p>
                <a:pPr>
                  <a:defRPr sz="1425" b="1" i="0" u="none" strike="noStrike" baseline="0">
                    <a:solidFill>
                      <a:srgbClr val="000000"/>
                    </a:solidFill>
                    <a:latin typeface="Arial"/>
                    <a:ea typeface="Arial"/>
                    <a:cs typeface="Arial"/>
                  </a:defRPr>
                </a:pPr>
                <a:r>
                  <a:rPr lang="en-US"/>
                  <a:t>Leaving one out error</a:t>
                </a:r>
              </a:p>
            </c:rich>
          </c:tx>
          <c:layout>
            <c:manualLayout>
              <c:xMode val="edge"/>
              <c:yMode val="edge"/>
              <c:x val="1.6871767611327235E-2"/>
              <c:y val="0.21665641404199626"/>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425" b="0" i="0" u="none" strike="noStrike" baseline="0">
                <a:solidFill>
                  <a:srgbClr val="000000"/>
                </a:solidFill>
                <a:latin typeface="Arial"/>
                <a:ea typeface="Arial"/>
                <a:cs typeface="Arial"/>
              </a:defRPr>
            </a:pPr>
            <a:endParaRPr lang="en-US"/>
          </a:p>
        </c:txPr>
        <c:crossAx val="365669760"/>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425" b="0" i="0" u="none" strike="noStrike" baseline="0">
          <a:solidFill>
            <a:srgbClr val="000000"/>
          </a:solidFill>
          <a:latin typeface="Arial"/>
          <a:ea typeface="Arial"/>
          <a:cs typeface="Arial"/>
        </a:defRPr>
      </a:pPr>
      <a:endParaRPr lang="en-US"/>
    </a:p>
  </c:txPr>
  <c:printSettings>
    <c:headerFooter alignWithMargins="0"/>
    <c:pageMargins b="1" l="0.75000000000000455" r="0.75000000000000455" t="1"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0" i="0" u="none" strike="noStrike" baseline="0">
                <a:solidFill>
                  <a:srgbClr val="000000"/>
                </a:solidFill>
                <a:latin typeface="SWISS"/>
                <a:ea typeface="SWISS"/>
                <a:cs typeface="SWISS"/>
              </a:defRPr>
            </a:pPr>
            <a:r>
              <a:rPr lang="en-US"/>
              <a:t>Percent Error of Age 1.3 Forecast Models</a:t>
            </a:r>
          </a:p>
        </c:rich>
      </c:tx>
      <c:layout>
        <c:manualLayout>
          <c:xMode val="edge"/>
          <c:yMode val="edge"/>
          <c:x val="0.20229212113657299"/>
          <c:y val="2.8622470578274616E-2"/>
        </c:manualLayout>
      </c:layout>
      <c:overlay val="0"/>
      <c:spPr>
        <a:solidFill>
          <a:srgbClr val="FFFFFF"/>
        </a:solidFill>
        <a:ln w="12700">
          <a:solidFill>
            <a:srgbClr val="000000"/>
          </a:solidFill>
          <a:prstDash val="solid"/>
        </a:ln>
        <a:effectLst>
          <a:outerShdw dist="35921" dir="2700000" algn="br">
            <a:srgbClr val="000000"/>
          </a:outerShdw>
        </a:effectLst>
      </c:spPr>
    </c:title>
    <c:autoTitleDeleted val="0"/>
    <c:plotArea>
      <c:layout>
        <c:manualLayout>
          <c:layoutTarget val="inner"/>
          <c:xMode val="edge"/>
          <c:yMode val="edge"/>
          <c:x val="0.12825055133482419"/>
          <c:y val="0.15563506261180679"/>
          <c:w val="0.83164532772788602"/>
          <c:h val="0.6726296958855198"/>
        </c:manualLayout>
      </c:layout>
      <c:scatterChart>
        <c:scatterStyle val="lineMarker"/>
        <c:varyColors val="0"/>
        <c:ser>
          <c:idx val="0"/>
          <c:order val="0"/>
          <c:tx>
            <c:v>ln 13 x ln 12</c:v>
          </c:tx>
          <c:spPr>
            <a:ln w="12700">
              <a:solidFill>
                <a:srgbClr val="00FF00"/>
              </a:solidFill>
              <a:prstDash val="solid"/>
            </a:ln>
          </c:spPr>
          <c:marker>
            <c:symbol val="diamond"/>
            <c:size val="5"/>
            <c:spPr>
              <a:solidFill>
                <a:srgbClr val="00FF00"/>
              </a:solidFill>
              <a:ln>
                <a:solidFill>
                  <a:srgbClr val="000000"/>
                </a:solidFill>
                <a:prstDash val="solid"/>
              </a:ln>
            </c:spPr>
          </c:marker>
          <c:xVal>
            <c:numRef>
              <c:f>ln13rpsxBYE!$A$13:$A$60</c:f>
              <c:numCache>
                <c:formatCode>General</c:formatCode>
                <c:ptCount val="48"/>
                <c:pt idx="0">
                  <c:v>1962</c:v>
                </c:pt>
                <c:pt idx="1">
                  <c:v>1963</c:v>
                </c:pt>
                <c:pt idx="2">
                  <c:v>1964</c:v>
                </c:pt>
                <c:pt idx="3">
                  <c:v>1965</c:v>
                </c:pt>
                <c:pt idx="4">
                  <c:v>1966</c:v>
                </c:pt>
                <c:pt idx="5">
                  <c:v>1967</c:v>
                </c:pt>
                <c:pt idx="6">
                  <c:v>1968</c:v>
                </c:pt>
                <c:pt idx="7">
                  <c:v>1969</c:v>
                </c:pt>
                <c:pt idx="8">
                  <c:v>1970</c:v>
                </c:pt>
                <c:pt idx="9">
                  <c:v>1971</c:v>
                </c:pt>
                <c:pt idx="10">
                  <c:v>1972</c:v>
                </c:pt>
                <c:pt idx="11">
                  <c:v>1973</c:v>
                </c:pt>
                <c:pt idx="12">
                  <c:v>1974</c:v>
                </c:pt>
                <c:pt idx="13">
                  <c:v>1975</c:v>
                </c:pt>
                <c:pt idx="14">
                  <c:v>1976</c:v>
                </c:pt>
                <c:pt idx="15">
                  <c:v>1977</c:v>
                </c:pt>
                <c:pt idx="16">
                  <c:v>1978</c:v>
                </c:pt>
                <c:pt idx="17">
                  <c:v>1979</c:v>
                </c:pt>
                <c:pt idx="18">
                  <c:v>1980</c:v>
                </c:pt>
                <c:pt idx="19">
                  <c:v>1981</c:v>
                </c:pt>
                <c:pt idx="20">
                  <c:v>1982</c:v>
                </c:pt>
                <c:pt idx="21">
                  <c:v>1983</c:v>
                </c:pt>
                <c:pt idx="22">
                  <c:v>1984</c:v>
                </c:pt>
                <c:pt idx="23">
                  <c:v>1985</c:v>
                </c:pt>
                <c:pt idx="24">
                  <c:v>1986</c:v>
                </c:pt>
                <c:pt idx="25">
                  <c:v>1987</c:v>
                </c:pt>
                <c:pt idx="26">
                  <c:v>1988</c:v>
                </c:pt>
                <c:pt idx="27">
                  <c:v>1989</c:v>
                </c:pt>
                <c:pt idx="28">
                  <c:v>1990</c:v>
                </c:pt>
                <c:pt idx="29">
                  <c:v>1991</c:v>
                </c:pt>
                <c:pt idx="30">
                  <c:v>1992</c:v>
                </c:pt>
                <c:pt idx="31">
                  <c:v>1993</c:v>
                </c:pt>
                <c:pt idx="32">
                  <c:v>1994</c:v>
                </c:pt>
                <c:pt idx="33">
                  <c:v>1995</c:v>
                </c:pt>
                <c:pt idx="34">
                  <c:v>1996</c:v>
                </c:pt>
                <c:pt idx="35">
                  <c:v>1997</c:v>
                </c:pt>
                <c:pt idx="36">
                  <c:v>1998</c:v>
                </c:pt>
                <c:pt idx="37">
                  <c:v>1999</c:v>
                </c:pt>
                <c:pt idx="38">
                  <c:v>2000</c:v>
                </c:pt>
                <c:pt idx="39">
                  <c:v>2001</c:v>
                </c:pt>
                <c:pt idx="40">
                  <c:v>2002</c:v>
                </c:pt>
                <c:pt idx="41">
                  <c:v>2003</c:v>
                </c:pt>
                <c:pt idx="42">
                  <c:v>2004</c:v>
                </c:pt>
                <c:pt idx="43">
                  <c:v>2005</c:v>
                </c:pt>
                <c:pt idx="44">
                  <c:v>2006</c:v>
                </c:pt>
                <c:pt idx="45">
                  <c:v>2007</c:v>
                </c:pt>
                <c:pt idx="46">
                  <c:v>2008</c:v>
                </c:pt>
                <c:pt idx="47">
                  <c:v>2009</c:v>
                </c:pt>
              </c:numCache>
            </c:numRef>
          </c:xVal>
          <c:yVal>
            <c:numRef>
              <c:f>ln13rpsxBYE!$X$13:$X$60</c:f>
              <c:numCache>
                <c:formatCode>0.0%</c:formatCode>
                <c:ptCount val="48"/>
                <c:pt idx="0">
                  <c:v>0.68984325038075867</c:v>
                </c:pt>
                <c:pt idx="1">
                  <c:v>0.44291547232802336</c:v>
                </c:pt>
                <c:pt idx="2">
                  <c:v>-0.27673518346860615</c:v>
                </c:pt>
                <c:pt idx="3">
                  <c:v>-0.23422224112070486</c:v>
                </c:pt>
                <c:pt idx="4">
                  <c:v>-1.6007590717896616E-2</c:v>
                </c:pt>
                <c:pt idx="5">
                  <c:v>-0.42105802853213226</c:v>
                </c:pt>
                <c:pt idx="6">
                  <c:v>5.1255277939133356E-2</c:v>
                </c:pt>
                <c:pt idx="7">
                  <c:v>0.69390550314733757</c:v>
                </c:pt>
                <c:pt idx="8">
                  <c:v>1.4024160271003148</c:v>
                </c:pt>
                <c:pt idx="9">
                  <c:v>0.20159476967773637</c:v>
                </c:pt>
                <c:pt idx="10">
                  <c:v>9.3236455098045873E-2</c:v>
                </c:pt>
                <c:pt idx="11">
                  <c:v>2.3176034964314827</c:v>
                </c:pt>
                <c:pt idx="12">
                  <c:v>0.31251246513165187</c:v>
                </c:pt>
                <c:pt idx="13">
                  <c:v>0.19759753383736217</c:v>
                </c:pt>
                <c:pt idx="14">
                  <c:v>-0.29342344371848378</c:v>
                </c:pt>
                <c:pt idx="15">
                  <c:v>-0.38648059420909914</c:v>
                </c:pt>
                <c:pt idx="16">
                  <c:v>-0.25739485465541057</c:v>
                </c:pt>
                <c:pt idx="17">
                  <c:v>-0.2691391824705498</c:v>
                </c:pt>
                <c:pt idx="18">
                  <c:v>0.1006609335477396</c:v>
                </c:pt>
                <c:pt idx="19">
                  <c:v>0.78283176169539581</c:v>
                </c:pt>
                <c:pt idx="20">
                  <c:v>-0.16130541840994994</c:v>
                </c:pt>
                <c:pt idx="21">
                  <c:v>1.3186586654094667</c:v>
                </c:pt>
                <c:pt idx="22">
                  <c:v>0.29043069806638672</c:v>
                </c:pt>
                <c:pt idx="23">
                  <c:v>0.86443364427491098</c:v>
                </c:pt>
                <c:pt idx="24">
                  <c:v>-0.18887922158200132</c:v>
                </c:pt>
                <c:pt idx="25">
                  <c:v>-2.7763156270386901E-2</c:v>
                </c:pt>
                <c:pt idx="26">
                  <c:v>-0.22643664504465272</c:v>
                </c:pt>
                <c:pt idx="27">
                  <c:v>-0.16140468544530215</c:v>
                </c:pt>
                <c:pt idx="28">
                  <c:v>9.1975309362364699E-2</c:v>
                </c:pt>
                <c:pt idx="29">
                  <c:v>-0.44957127640490463</c:v>
                </c:pt>
                <c:pt idx="30">
                  <c:v>-0.55209064098850902</c:v>
                </c:pt>
                <c:pt idx="31">
                  <c:v>6.2928049769363378E-2</c:v>
                </c:pt>
                <c:pt idx="32">
                  <c:v>-5.5028307101370424E-2</c:v>
                </c:pt>
                <c:pt idx="33">
                  <c:v>0.15499979024819652</c:v>
                </c:pt>
                <c:pt idx="34">
                  <c:v>-0.29247128038720838</c:v>
                </c:pt>
                <c:pt idx="35">
                  <c:v>4.4190845323222219E-2</c:v>
                </c:pt>
                <c:pt idx="36">
                  <c:v>-0.15792171337522964</c:v>
                </c:pt>
                <c:pt idx="37">
                  <c:v>0.18854428705526846</c:v>
                </c:pt>
                <c:pt idx="38">
                  <c:v>-0.25168707550913927</c:v>
                </c:pt>
                <c:pt idx="39">
                  <c:v>-0.19089695941476181</c:v>
                </c:pt>
                <c:pt idx="40">
                  <c:v>-0.47610211239476274</c:v>
                </c:pt>
                <c:pt idx="41">
                  <c:v>0.50248164508283133</c:v>
                </c:pt>
                <c:pt idx="42">
                  <c:v>0.20314645915356336</c:v>
                </c:pt>
                <c:pt idx="43">
                  <c:v>0.61566840333467543</c:v>
                </c:pt>
                <c:pt idx="44">
                  <c:v>-0.33116957449683354</c:v>
                </c:pt>
                <c:pt idx="45">
                  <c:v>-0.41405869485143276</c:v>
                </c:pt>
                <c:pt idx="46">
                  <c:v>-0.22598330022308097</c:v>
                </c:pt>
                <c:pt idx="47">
                  <c:v>-0.39828093422435684</c:v>
                </c:pt>
              </c:numCache>
            </c:numRef>
          </c:yVal>
          <c:smooth val="0"/>
        </c:ser>
        <c:ser>
          <c:idx val="1"/>
          <c:order val="1"/>
          <c:tx>
            <c:v>ln 13 x ln 03</c:v>
          </c:tx>
          <c:spPr>
            <a:ln w="12700">
              <a:solidFill>
                <a:srgbClr val="0000FF"/>
              </a:solidFill>
              <a:prstDash val="solid"/>
            </a:ln>
          </c:spPr>
          <c:marker>
            <c:symbol val="triangle"/>
            <c:size val="5"/>
            <c:spPr>
              <a:solidFill>
                <a:srgbClr val="0000FF"/>
              </a:solidFill>
              <a:ln>
                <a:solidFill>
                  <a:srgbClr val="000000"/>
                </a:solidFill>
                <a:prstDash val="solid"/>
              </a:ln>
            </c:spPr>
          </c:marker>
          <c:xVal>
            <c:numRef>
              <c:f>ln13rpsxBYE!$A$13:$A$60</c:f>
              <c:numCache>
                <c:formatCode>General</c:formatCode>
                <c:ptCount val="48"/>
                <c:pt idx="0">
                  <c:v>1962</c:v>
                </c:pt>
                <c:pt idx="1">
                  <c:v>1963</c:v>
                </c:pt>
                <c:pt idx="2">
                  <c:v>1964</c:v>
                </c:pt>
                <c:pt idx="3">
                  <c:v>1965</c:v>
                </c:pt>
                <c:pt idx="4">
                  <c:v>1966</c:v>
                </c:pt>
                <c:pt idx="5">
                  <c:v>1967</c:v>
                </c:pt>
                <c:pt idx="6">
                  <c:v>1968</c:v>
                </c:pt>
                <c:pt idx="7">
                  <c:v>1969</c:v>
                </c:pt>
                <c:pt idx="8">
                  <c:v>1970</c:v>
                </c:pt>
                <c:pt idx="9">
                  <c:v>1971</c:v>
                </c:pt>
                <c:pt idx="10">
                  <c:v>1972</c:v>
                </c:pt>
                <c:pt idx="11">
                  <c:v>1973</c:v>
                </c:pt>
                <c:pt idx="12">
                  <c:v>1974</c:v>
                </c:pt>
                <c:pt idx="13">
                  <c:v>1975</c:v>
                </c:pt>
                <c:pt idx="14">
                  <c:v>1976</c:v>
                </c:pt>
                <c:pt idx="15">
                  <c:v>1977</c:v>
                </c:pt>
                <c:pt idx="16">
                  <c:v>1978</c:v>
                </c:pt>
                <c:pt idx="17">
                  <c:v>1979</c:v>
                </c:pt>
                <c:pt idx="18">
                  <c:v>1980</c:v>
                </c:pt>
                <c:pt idx="19">
                  <c:v>1981</c:v>
                </c:pt>
                <c:pt idx="20">
                  <c:v>1982</c:v>
                </c:pt>
                <c:pt idx="21">
                  <c:v>1983</c:v>
                </c:pt>
                <c:pt idx="22">
                  <c:v>1984</c:v>
                </c:pt>
                <c:pt idx="23">
                  <c:v>1985</c:v>
                </c:pt>
                <c:pt idx="24">
                  <c:v>1986</c:v>
                </c:pt>
                <c:pt idx="25">
                  <c:v>1987</c:v>
                </c:pt>
                <c:pt idx="26">
                  <c:v>1988</c:v>
                </c:pt>
                <c:pt idx="27">
                  <c:v>1989</c:v>
                </c:pt>
                <c:pt idx="28">
                  <c:v>1990</c:v>
                </c:pt>
                <c:pt idx="29">
                  <c:v>1991</c:v>
                </c:pt>
                <c:pt idx="30">
                  <c:v>1992</c:v>
                </c:pt>
                <c:pt idx="31">
                  <c:v>1993</c:v>
                </c:pt>
                <c:pt idx="32">
                  <c:v>1994</c:v>
                </c:pt>
                <c:pt idx="33">
                  <c:v>1995</c:v>
                </c:pt>
                <c:pt idx="34">
                  <c:v>1996</c:v>
                </c:pt>
                <c:pt idx="35">
                  <c:v>1997</c:v>
                </c:pt>
                <c:pt idx="36">
                  <c:v>1998</c:v>
                </c:pt>
                <c:pt idx="37">
                  <c:v>1999</c:v>
                </c:pt>
                <c:pt idx="38">
                  <c:v>2000</c:v>
                </c:pt>
                <c:pt idx="39">
                  <c:v>2001</c:v>
                </c:pt>
                <c:pt idx="40">
                  <c:v>2002</c:v>
                </c:pt>
                <c:pt idx="41">
                  <c:v>2003</c:v>
                </c:pt>
                <c:pt idx="42">
                  <c:v>2004</c:v>
                </c:pt>
                <c:pt idx="43">
                  <c:v>2005</c:v>
                </c:pt>
                <c:pt idx="44">
                  <c:v>2006</c:v>
                </c:pt>
                <c:pt idx="45">
                  <c:v>2007</c:v>
                </c:pt>
                <c:pt idx="46">
                  <c:v>2008</c:v>
                </c:pt>
                <c:pt idx="47">
                  <c:v>2009</c:v>
                </c:pt>
              </c:numCache>
            </c:numRef>
          </c:xVal>
          <c:yVal>
            <c:numRef>
              <c:f>ln13rpsxBYE!$X$13:$X$60</c:f>
              <c:numCache>
                <c:formatCode>0.0%</c:formatCode>
                <c:ptCount val="48"/>
                <c:pt idx="0">
                  <c:v>0.68984325038075867</c:v>
                </c:pt>
                <c:pt idx="1">
                  <c:v>0.44291547232802336</c:v>
                </c:pt>
                <c:pt idx="2">
                  <c:v>-0.27673518346860615</c:v>
                </c:pt>
                <c:pt idx="3">
                  <c:v>-0.23422224112070486</c:v>
                </c:pt>
                <c:pt idx="4">
                  <c:v>-1.6007590717896616E-2</c:v>
                </c:pt>
                <c:pt idx="5">
                  <c:v>-0.42105802853213226</c:v>
                </c:pt>
                <c:pt idx="6">
                  <c:v>5.1255277939133356E-2</c:v>
                </c:pt>
                <c:pt idx="7">
                  <c:v>0.69390550314733757</c:v>
                </c:pt>
                <c:pt idx="8">
                  <c:v>1.4024160271003148</c:v>
                </c:pt>
                <c:pt idx="9">
                  <c:v>0.20159476967773637</c:v>
                </c:pt>
                <c:pt idx="10">
                  <c:v>9.3236455098045873E-2</c:v>
                </c:pt>
                <c:pt idx="11">
                  <c:v>2.3176034964314827</c:v>
                </c:pt>
                <c:pt idx="12">
                  <c:v>0.31251246513165187</c:v>
                </c:pt>
                <c:pt idx="13">
                  <c:v>0.19759753383736217</c:v>
                </c:pt>
                <c:pt idx="14">
                  <c:v>-0.29342344371848378</c:v>
                </c:pt>
                <c:pt idx="15">
                  <c:v>-0.38648059420909914</c:v>
                </c:pt>
                <c:pt idx="16">
                  <c:v>-0.25739485465541057</c:v>
                </c:pt>
                <c:pt idx="17">
                  <c:v>-0.2691391824705498</c:v>
                </c:pt>
                <c:pt idx="18">
                  <c:v>0.1006609335477396</c:v>
                </c:pt>
                <c:pt idx="19">
                  <c:v>0.78283176169539581</c:v>
                </c:pt>
                <c:pt idx="20">
                  <c:v>-0.16130541840994994</c:v>
                </c:pt>
                <c:pt idx="21">
                  <c:v>1.3186586654094667</c:v>
                </c:pt>
                <c:pt idx="22">
                  <c:v>0.29043069806638672</c:v>
                </c:pt>
                <c:pt idx="23">
                  <c:v>0.86443364427491098</c:v>
                </c:pt>
                <c:pt idx="24">
                  <c:v>-0.18887922158200132</c:v>
                </c:pt>
                <c:pt idx="25">
                  <c:v>-2.7763156270386901E-2</c:v>
                </c:pt>
                <c:pt idx="26">
                  <c:v>-0.22643664504465272</c:v>
                </c:pt>
                <c:pt idx="27">
                  <c:v>-0.16140468544530215</c:v>
                </c:pt>
                <c:pt idx="28">
                  <c:v>9.1975309362364699E-2</c:v>
                </c:pt>
                <c:pt idx="29">
                  <c:v>-0.44957127640490463</c:v>
                </c:pt>
                <c:pt idx="30">
                  <c:v>-0.55209064098850902</c:v>
                </c:pt>
                <c:pt idx="31">
                  <c:v>6.2928049769363378E-2</c:v>
                </c:pt>
                <c:pt idx="32">
                  <c:v>-5.5028307101370424E-2</c:v>
                </c:pt>
                <c:pt idx="33">
                  <c:v>0.15499979024819652</c:v>
                </c:pt>
                <c:pt idx="34">
                  <c:v>-0.29247128038720838</c:v>
                </c:pt>
                <c:pt idx="35">
                  <c:v>4.4190845323222219E-2</c:v>
                </c:pt>
                <c:pt idx="36">
                  <c:v>-0.15792171337522964</c:v>
                </c:pt>
                <c:pt idx="37">
                  <c:v>0.18854428705526846</c:v>
                </c:pt>
                <c:pt idx="38">
                  <c:v>-0.25168707550913927</c:v>
                </c:pt>
                <c:pt idx="39">
                  <c:v>-0.19089695941476181</c:v>
                </c:pt>
                <c:pt idx="40">
                  <c:v>-0.47610211239476274</c:v>
                </c:pt>
                <c:pt idx="41">
                  <c:v>0.50248164508283133</c:v>
                </c:pt>
                <c:pt idx="42">
                  <c:v>0.20314645915356336</c:v>
                </c:pt>
                <c:pt idx="43">
                  <c:v>0.61566840333467543</c:v>
                </c:pt>
                <c:pt idx="44">
                  <c:v>-0.33116957449683354</c:v>
                </c:pt>
                <c:pt idx="45">
                  <c:v>-0.41405869485143276</c:v>
                </c:pt>
                <c:pt idx="46">
                  <c:v>-0.22598330022308097</c:v>
                </c:pt>
                <c:pt idx="47">
                  <c:v>-0.39828093422435684</c:v>
                </c:pt>
              </c:numCache>
            </c:numRef>
          </c:yVal>
          <c:smooth val="0"/>
        </c:ser>
        <c:ser>
          <c:idx val="2"/>
          <c:order val="2"/>
          <c:tx>
            <c:v>Ln(Obs-Avg)</c:v>
          </c:tx>
          <c:spPr>
            <a:ln w="12700">
              <a:solidFill>
                <a:srgbClr val="FFFF00"/>
              </a:solidFill>
              <a:prstDash val="solid"/>
            </a:ln>
          </c:spPr>
          <c:marker>
            <c:symbol val="square"/>
            <c:size val="5"/>
            <c:spPr>
              <a:noFill/>
              <a:ln>
                <a:solidFill>
                  <a:srgbClr val="FFFF00"/>
                </a:solidFill>
                <a:prstDash val="solid"/>
              </a:ln>
            </c:spPr>
          </c:marker>
          <c:xVal>
            <c:numRef>
              <c:f>ln13rpsxBYE!$A$13:$A$60</c:f>
              <c:numCache>
                <c:formatCode>General</c:formatCode>
                <c:ptCount val="48"/>
                <c:pt idx="0">
                  <c:v>1962</c:v>
                </c:pt>
                <c:pt idx="1">
                  <c:v>1963</c:v>
                </c:pt>
                <c:pt idx="2">
                  <c:v>1964</c:v>
                </c:pt>
                <c:pt idx="3">
                  <c:v>1965</c:v>
                </c:pt>
                <c:pt idx="4">
                  <c:v>1966</c:v>
                </c:pt>
                <c:pt idx="5">
                  <c:v>1967</c:v>
                </c:pt>
                <c:pt idx="6">
                  <c:v>1968</c:v>
                </c:pt>
                <c:pt idx="7">
                  <c:v>1969</c:v>
                </c:pt>
                <c:pt idx="8">
                  <c:v>1970</c:v>
                </c:pt>
                <c:pt idx="9">
                  <c:v>1971</c:v>
                </c:pt>
                <c:pt idx="10">
                  <c:v>1972</c:v>
                </c:pt>
                <c:pt idx="11">
                  <c:v>1973</c:v>
                </c:pt>
                <c:pt idx="12">
                  <c:v>1974</c:v>
                </c:pt>
                <c:pt idx="13">
                  <c:v>1975</c:v>
                </c:pt>
                <c:pt idx="14">
                  <c:v>1976</c:v>
                </c:pt>
                <c:pt idx="15">
                  <c:v>1977</c:v>
                </c:pt>
                <c:pt idx="16">
                  <c:v>1978</c:v>
                </c:pt>
                <c:pt idx="17">
                  <c:v>1979</c:v>
                </c:pt>
                <c:pt idx="18">
                  <c:v>1980</c:v>
                </c:pt>
                <c:pt idx="19">
                  <c:v>1981</c:v>
                </c:pt>
                <c:pt idx="20">
                  <c:v>1982</c:v>
                </c:pt>
                <c:pt idx="21">
                  <c:v>1983</c:v>
                </c:pt>
                <c:pt idx="22">
                  <c:v>1984</c:v>
                </c:pt>
                <c:pt idx="23">
                  <c:v>1985</c:v>
                </c:pt>
                <c:pt idx="24">
                  <c:v>1986</c:v>
                </c:pt>
                <c:pt idx="25">
                  <c:v>1987</c:v>
                </c:pt>
                <c:pt idx="26">
                  <c:v>1988</c:v>
                </c:pt>
                <c:pt idx="27">
                  <c:v>1989</c:v>
                </c:pt>
                <c:pt idx="28">
                  <c:v>1990</c:v>
                </c:pt>
                <c:pt idx="29">
                  <c:v>1991</c:v>
                </c:pt>
                <c:pt idx="30">
                  <c:v>1992</c:v>
                </c:pt>
                <c:pt idx="31">
                  <c:v>1993</c:v>
                </c:pt>
                <c:pt idx="32">
                  <c:v>1994</c:v>
                </c:pt>
                <c:pt idx="33">
                  <c:v>1995</c:v>
                </c:pt>
                <c:pt idx="34">
                  <c:v>1996</c:v>
                </c:pt>
                <c:pt idx="35">
                  <c:v>1997</c:v>
                </c:pt>
                <c:pt idx="36">
                  <c:v>1998</c:v>
                </c:pt>
                <c:pt idx="37">
                  <c:v>1999</c:v>
                </c:pt>
                <c:pt idx="38">
                  <c:v>2000</c:v>
                </c:pt>
                <c:pt idx="39">
                  <c:v>2001</c:v>
                </c:pt>
                <c:pt idx="40">
                  <c:v>2002</c:v>
                </c:pt>
                <c:pt idx="41">
                  <c:v>2003</c:v>
                </c:pt>
                <c:pt idx="42">
                  <c:v>2004</c:v>
                </c:pt>
                <c:pt idx="43">
                  <c:v>2005</c:v>
                </c:pt>
                <c:pt idx="44">
                  <c:v>2006</c:v>
                </c:pt>
                <c:pt idx="45">
                  <c:v>2007</c:v>
                </c:pt>
                <c:pt idx="46">
                  <c:v>2008</c:v>
                </c:pt>
                <c:pt idx="47">
                  <c:v>2009</c:v>
                </c:pt>
              </c:numCache>
            </c:numRef>
          </c:xVal>
          <c:yVal>
            <c:numRef>
              <c:f>ln13rpsxBYE!$B$69:$B$98</c:f>
              <c:numCache>
                <c:formatCode>0.00_)</c:formatCode>
                <c:ptCount val="30"/>
                <c:pt idx="0">
                  <c:v>0.49205824923001157</c:v>
                </c:pt>
                <c:pt idx="1">
                  <c:v>0.55444642233182739</c:v>
                </c:pt>
                <c:pt idx="2">
                  <c:v>0.24267702079642994</c:v>
                </c:pt>
                <c:pt idx="3">
                  <c:v>-2.063585202842565E-2</c:v>
                </c:pt>
                <c:pt idx="4">
                  <c:v>0.19698702318114206</c:v>
                </c:pt>
                <c:pt idx="5">
                  <c:v>0.35886553720122705</c:v>
                </c:pt>
                <c:pt idx="6">
                  <c:v>0.46290623638519779</c:v>
                </c:pt>
                <c:pt idx="7">
                  <c:v>0.42169502489810606</c:v>
                </c:pt>
                <c:pt idx="8">
                  <c:v>0.68605655775992502</c:v>
                </c:pt>
                <c:pt idx="9">
                  <c:v>0.14776787090516358</c:v>
                </c:pt>
                <c:pt idx="10">
                  <c:v>0.2335702162143829</c:v>
                </c:pt>
                <c:pt idx="11">
                  <c:v>0.73066356203392158</c:v>
                </c:pt>
                <c:pt idx="12">
                  <c:v>0.59899611614186532</c:v>
                </c:pt>
                <c:pt idx="13">
                  <c:v>0.62788822476593775</c:v>
                </c:pt>
                <c:pt idx="14">
                  <c:v>0.18747915026144618</c:v>
                </c:pt>
                <c:pt idx="15">
                  <c:v>-0.22440599059129923</c:v>
                </c:pt>
                <c:pt idx="16">
                  <c:v>0.25990800833789068</c:v>
                </c:pt>
                <c:pt idx="17">
                  <c:v>-0.29016103677260996</c:v>
                </c:pt>
                <c:pt idx="18">
                  <c:v>5.4216257707650747E-2</c:v>
                </c:pt>
                <c:pt idx="19">
                  <c:v>0.33907171111945839</c:v>
                </c:pt>
                <c:pt idx="20">
                  <c:v>-0.23281890075943001</c:v>
                </c:pt>
                <c:pt idx="21">
                  <c:v>0.51372507563346992</c:v>
                </c:pt>
                <c:pt idx="22">
                  <c:v>8.2532306608867317E-2</c:v>
                </c:pt>
                <c:pt idx="23">
                  <c:v>0.41903204215145967</c:v>
                </c:pt>
                <c:pt idx="24">
                  <c:v>-0.17057872827338039</c:v>
                </c:pt>
                <c:pt idx="25">
                  <c:v>2.6058215859656553E-2</c:v>
                </c:pt>
                <c:pt idx="26">
                  <c:v>-0.20462021423096668</c:v>
                </c:pt>
                <c:pt idx="27">
                  <c:v>-0.20696707037928971</c:v>
                </c:pt>
                <c:pt idx="28">
                  <c:v>3.9631968791498516E-2</c:v>
                </c:pt>
                <c:pt idx="29">
                  <c:v>-0.8016912564597013</c:v>
                </c:pt>
              </c:numCache>
            </c:numRef>
          </c:yVal>
          <c:smooth val="0"/>
        </c:ser>
        <c:dLbls>
          <c:showLegendKey val="0"/>
          <c:showVal val="0"/>
          <c:showCatName val="0"/>
          <c:showSerName val="0"/>
          <c:showPercent val="0"/>
          <c:showBubbleSize val="0"/>
        </c:dLbls>
        <c:axId val="366070784"/>
        <c:axId val="366077824"/>
      </c:scatterChart>
      <c:valAx>
        <c:axId val="366070784"/>
        <c:scaling>
          <c:orientation val="minMax"/>
          <c:max val="1995"/>
          <c:min val="1960"/>
        </c:scaling>
        <c:delete val="0"/>
        <c:axPos val="b"/>
        <c:title>
          <c:tx>
            <c:rich>
              <a:bodyPr/>
              <a:lstStyle/>
              <a:p>
                <a:pPr>
                  <a:defRPr sz="1000" b="0" i="0" u="none" strike="noStrike" baseline="0">
                    <a:solidFill>
                      <a:srgbClr val="000000"/>
                    </a:solidFill>
                    <a:latin typeface="SWISS"/>
                    <a:ea typeface="SWISS"/>
                    <a:cs typeface="SWISS"/>
                  </a:defRPr>
                </a:pPr>
                <a:r>
                  <a:rPr lang="en-US"/>
                  <a:t>Brood Year</a:t>
                </a:r>
              </a:p>
            </c:rich>
          </c:tx>
          <c:layout>
            <c:manualLayout>
              <c:xMode val="edge"/>
              <c:yMode val="edge"/>
              <c:x val="0.49845829957271548"/>
              <c:y val="0.88193209719752752"/>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SWISS"/>
                <a:ea typeface="SWISS"/>
                <a:cs typeface="SWISS"/>
              </a:defRPr>
            </a:pPr>
            <a:endParaRPr lang="en-US"/>
          </a:p>
        </c:txPr>
        <c:crossAx val="366077824"/>
        <c:crosses val="autoZero"/>
        <c:crossBetween val="midCat"/>
      </c:valAx>
      <c:valAx>
        <c:axId val="366077824"/>
        <c:scaling>
          <c:orientation val="minMax"/>
        </c:scaling>
        <c:delete val="0"/>
        <c:axPos val="l"/>
        <c:title>
          <c:tx>
            <c:rich>
              <a:bodyPr/>
              <a:lstStyle/>
              <a:p>
                <a:pPr>
                  <a:defRPr sz="1000" b="0" i="0" u="none" strike="noStrike" baseline="0">
                    <a:solidFill>
                      <a:srgbClr val="000000"/>
                    </a:solidFill>
                    <a:latin typeface="SWISS"/>
                    <a:ea typeface="SWISS"/>
                    <a:cs typeface="SWISS"/>
                  </a:defRPr>
                </a:pPr>
                <a:r>
                  <a:rPr lang="en-US"/>
                  <a:t>Percent Error</a:t>
                </a:r>
              </a:p>
            </c:rich>
          </c:tx>
          <c:layout>
            <c:manualLayout>
              <c:xMode val="edge"/>
              <c:yMode val="edge"/>
              <c:x val="2.1154717137930341E-2"/>
              <c:y val="0.42039360671313925"/>
            </c:manualLayout>
          </c:layout>
          <c:overlay val="0"/>
          <c:spPr>
            <a:noFill/>
            <a:ln w="25400">
              <a:noFill/>
            </a:ln>
          </c:spPr>
        </c:title>
        <c:numFmt formatCode="0.0%"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SWISS"/>
                <a:ea typeface="SWISS"/>
                <a:cs typeface="SWISS"/>
              </a:defRPr>
            </a:pPr>
            <a:endParaRPr lang="en-US"/>
          </a:p>
        </c:txPr>
        <c:crossAx val="366070784"/>
        <c:crosses val="autoZero"/>
        <c:crossBetween val="midCat"/>
      </c:valAx>
      <c:spPr>
        <a:solidFill>
          <a:srgbClr val="FFFFFF"/>
        </a:solidFill>
        <a:ln w="12700">
          <a:solidFill>
            <a:srgbClr val="000000"/>
          </a:solidFill>
          <a:prstDash val="solid"/>
        </a:ln>
      </c:spPr>
    </c:plotArea>
    <c:legend>
      <c:legendPos val="b"/>
      <c:layout>
        <c:manualLayout>
          <c:xMode val="edge"/>
          <c:yMode val="edge"/>
          <c:x val="0.32789825414303431"/>
          <c:y val="0.94454378686535156"/>
          <c:w val="0.43102763869556632"/>
          <c:h val="4.2933799941669834E-2"/>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920" b="0" i="0" u="none" strike="noStrike" baseline="0">
              <a:solidFill>
                <a:srgbClr val="000000"/>
              </a:solidFill>
              <a:latin typeface="SWISS"/>
              <a:ea typeface="SWISS"/>
              <a:cs typeface="SWISS"/>
            </a:defRPr>
          </a:pPr>
          <a:endParaRPr lang="en-US"/>
        </a:p>
      </c:txPr>
    </c:legend>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LN R/S AGE 1.3 FROM BYE</a:t>
            </a:r>
          </a:p>
        </c:rich>
      </c:tx>
      <c:layout>
        <c:manualLayout>
          <c:xMode val="edge"/>
          <c:yMode val="edge"/>
          <c:x val="0.38345895006189212"/>
          <c:y val="2.9126300846635398E-2"/>
        </c:manualLayout>
      </c:layout>
      <c:overlay val="0"/>
      <c:spPr>
        <a:noFill/>
        <a:ln w="12700">
          <a:noFill/>
          <a:prstDash val="solid"/>
        </a:ln>
        <a:effectLst/>
      </c:spPr>
    </c:title>
    <c:autoTitleDeleted val="0"/>
    <c:plotArea>
      <c:layout>
        <c:manualLayout>
          <c:layoutTarget val="inner"/>
          <c:xMode val="edge"/>
          <c:yMode val="edge"/>
          <c:x val="0.11410889998626506"/>
          <c:y val="9.8908259035713902E-2"/>
          <c:w val="0.82131871036625659"/>
          <c:h val="0.6991500965103119"/>
        </c:manualLayout>
      </c:layout>
      <c:scatterChart>
        <c:scatterStyle val="lineMarker"/>
        <c:varyColors val="0"/>
        <c:ser>
          <c:idx val="0"/>
          <c:order val="0"/>
          <c:tx>
            <c:v>ACTUAL</c:v>
          </c:tx>
          <c:spPr>
            <a:ln w="28575">
              <a:noFill/>
            </a:ln>
          </c:spPr>
          <c:marker>
            <c:symbol val="diamond"/>
            <c:size val="5"/>
            <c:spPr>
              <a:solidFill>
                <a:schemeClr val="tx1"/>
              </a:solidFill>
              <a:ln>
                <a:solidFill>
                  <a:srgbClr val="FFFFFF"/>
                </a:solidFill>
                <a:prstDash val="solid"/>
              </a:ln>
            </c:spPr>
          </c:marker>
          <c:dLbls>
            <c:dLbl>
              <c:idx val="0"/>
              <c:tx>
                <c:strRef>
                  <c:f>ln13rpsxBYE!$AC$13</c:f>
                  <c:strCache>
                    <c:ptCount val="1"/>
                    <c:pt idx="0">
                      <c:v>67 </c:v>
                    </c:pt>
                  </c:strCache>
                </c:strRef>
              </c:tx>
              <c:dLblPos val="t"/>
              <c:showLegendKey val="0"/>
              <c:showVal val="1"/>
              <c:showCatName val="0"/>
              <c:showSerName val="0"/>
              <c:showPercent val="0"/>
              <c:showBubbleSize val="0"/>
            </c:dLbl>
            <c:dLbl>
              <c:idx val="1"/>
              <c:tx>
                <c:strRef>
                  <c:f>ln13rpsxBYE!$AC$14</c:f>
                  <c:strCache>
                    <c:ptCount val="1"/>
                    <c:pt idx="0">
                      <c:v>68 </c:v>
                    </c:pt>
                  </c:strCache>
                </c:strRef>
              </c:tx>
              <c:dLblPos val="t"/>
              <c:showLegendKey val="0"/>
              <c:showVal val="1"/>
              <c:showCatName val="0"/>
              <c:showSerName val="0"/>
              <c:showPercent val="0"/>
              <c:showBubbleSize val="0"/>
            </c:dLbl>
            <c:dLbl>
              <c:idx val="2"/>
              <c:tx>
                <c:strRef>
                  <c:f>ln13rpsxBYE!$AC$15</c:f>
                  <c:strCache>
                    <c:ptCount val="1"/>
                    <c:pt idx="0">
                      <c:v>69 </c:v>
                    </c:pt>
                  </c:strCache>
                </c:strRef>
              </c:tx>
              <c:dLblPos val="t"/>
              <c:showLegendKey val="0"/>
              <c:showVal val="1"/>
              <c:showCatName val="0"/>
              <c:showSerName val="0"/>
              <c:showPercent val="0"/>
              <c:showBubbleSize val="0"/>
            </c:dLbl>
            <c:dLbl>
              <c:idx val="3"/>
              <c:tx>
                <c:strRef>
                  <c:f>ln13rpsxBYE!$AC$16</c:f>
                  <c:strCache>
                    <c:ptCount val="1"/>
                    <c:pt idx="0">
                      <c:v>70 </c:v>
                    </c:pt>
                  </c:strCache>
                </c:strRef>
              </c:tx>
              <c:dLblPos val="t"/>
              <c:showLegendKey val="0"/>
              <c:showVal val="1"/>
              <c:showCatName val="0"/>
              <c:showSerName val="0"/>
              <c:showPercent val="0"/>
              <c:showBubbleSize val="0"/>
            </c:dLbl>
            <c:dLbl>
              <c:idx val="4"/>
              <c:tx>
                <c:strRef>
                  <c:f>ln13rpsxBYE!$AC$17</c:f>
                  <c:strCache>
                    <c:ptCount val="1"/>
                    <c:pt idx="0">
                      <c:v>71 </c:v>
                    </c:pt>
                  </c:strCache>
                </c:strRef>
              </c:tx>
              <c:dLblPos val="t"/>
              <c:showLegendKey val="0"/>
              <c:showVal val="1"/>
              <c:showCatName val="0"/>
              <c:showSerName val="0"/>
              <c:showPercent val="0"/>
              <c:showBubbleSize val="0"/>
            </c:dLbl>
            <c:dLbl>
              <c:idx val="5"/>
              <c:tx>
                <c:strRef>
                  <c:f>ln13rpsxBYE!$AC$18</c:f>
                  <c:strCache>
                    <c:ptCount val="1"/>
                    <c:pt idx="0">
                      <c:v>72 </c:v>
                    </c:pt>
                  </c:strCache>
                </c:strRef>
              </c:tx>
              <c:dLblPos val="t"/>
              <c:showLegendKey val="0"/>
              <c:showVal val="1"/>
              <c:showCatName val="0"/>
              <c:showSerName val="0"/>
              <c:showPercent val="0"/>
              <c:showBubbleSize val="0"/>
            </c:dLbl>
            <c:dLbl>
              <c:idx val="6"/>
              <c:tx>
                <c:strRef>
                  <c:f>ln13rpsxBYE!$AC$19</c:f>
                  <c:strCache>
                    <c:ptCount val="1"/>
                    <c:pt idx="0">
                      <c:v>73 </c:v>
                    </c:pt>
                  </c:strCache>
                </c:strRef>
              </c:tx>
              <c:dLblPos val="t"/>
              <c:showLegendKey val="0"/>
              <c:showVal val="1"/>
              <c:showCatName val="0"/>
              <c:showSerName val="0"/>
              <c:showPercent val="0"/>
              <c:showBubbleSize val="0"/>
            </c:dLbl>
            <c:dLbl>
              <c:idx val="7"/>
              <c:tx>
                <c:strRef>
                  <c:f>ln13rpsxBYE!$AC$20</c:f>
                  <c:strCache>
                    <c:ptCount val="1"/>
                    <c:pt idx="0">
                      <c:v>74 </c:v>
                    </c:pt>
                  </c:strCache>
                </c:strRef>
              </c:tx>
              <c:dLblPos val="t"/>
              <c:showLegendKey val="0"/>
              <c:showVal val="1"/>
              <c:showCatName val="0"/>
              <c:showSerName val="0"/>
              <c:showPercent val="0"/>
              <c:showBubbleSize val="0"/>
            </c:dLbl>
            <c:dLbl>
              <c:idx val="8"/>
              <c:tx>
                <c:strRef>
                  <c:f>ln13rpsxBYE!$AC$21</c:f>
                  <c:strCache>
                    <c:ptCount val="1"/>
                    <c:pt idx="0">
                      <c:v>75 </c:v>
                    </c:pt>
                  </c:strCache>
                </c:strRef>
              </c:tx>
              <c:dLblPos val="t"/>
              <c:showLegendKey val="0"/>
              <c:showVal val="1"/>
              <c:showCatName val="0"/>
              <c:showSerName val="0"/>
              <c:showPercent val="0"/>
              <c:showBubbleSize val="0"/>
            </c:dLbl>
            <c:dLbl>
              <c:idx val="9"/>
              <c:tx>
                <c:strRef>
                  <c:f>ln13rpsxBYE!$AC$22</c:f>
                  <c:strCache>
                    <c:ptCount val="1"/>
                    <c:pt idx="0">
                      <c:v>76 </c:v>
                    </c:pt>
                  </c:strCache>
                </c:strRef>
              </c:tx>
              <c:dLblPos val="t"/>
              <c:showLegendKey val="0"/>
              <c:showVal val="1"/>
              <c:showCatName val="0"/>
              <c:showSerName val="0"/>
              <c:showPercent val="0"/>
              <c:showBubbleSize val="0"/>
            </c:dLbl>
            <c:dLbl>
              <c:idx val="10"/>
              <c:tx>
                <c:strRef>
                  <c:f>ln13rpsxBYE!$AC$23</c:f>
                  <c:strCache>
                    <c:ptCount val="1"/>
                    <c:pt idx="0">
                      <c:v>77 </c:v>
                    </c:pt>
                  </c:strCache>
                </c:strRef>
              </c:tx>
              <c:dLblPos val="t"/>
              <c:showLegendKey val="0"/>
              <c:showVal val="1"/>
              <c:showCatName val="0"/>
              <c:showSerName val="0"/>
              <c:showPercent val="0"/>
              <c:showBubbleSize val="0"/>
            </c:dLbl>
            <c:dLbl>
              <c:idx val="11"/>
              <c:tx>
                <c:strRef>
                  <c:f>ln13rpsxBYE!$AC$24</c:f>
                  <c:strCache>
                    <c:ptCount val="1"/>
                    <c:pt idx="0">
                      <c:v>78 </c:v>
                    </c:pt>
                  </c:strCache>
                </c:strRef>
              </c:tx>
              <c:dLblPos val="t"/>
              <c:showLegendKey val="0"/>
              <c:showVal val="1"/>
              <c:showCatName val="0"/>
              <c:showSerName val="0"/>
              <c:showPercent val="0"/>
              <c:showBubbleSize val="0"/>
            </c:dLbl>
            <c:dLbl>
              <c:idx val="12"/>
              <c:tx>
                <c:strRef>
                  <c:f>ln13rpsxBYE!$AC$25</c:f>
                  <c:strCache>
                    <c:ptCount val="1"/>
                    <c:pt idx="0">
                      <c:v>79 </c:v>
                    </c:pt>
                  </c:strCache>
                </c:strRef>
              </c:tx>
              <c:dLblPos val="t"/>
              <c:showLegendKey val="0"/>
              <c:showVal val="1"/>
              <c:showCatName val="0"/>
              <c:showSerName val="0"/>
              <c:showPercent val="0"/>
              <c:showBubbleSize val="0"/>
            </c:dLbl>
            <c:dLbl>
              <c:idx val="13"/>
              <c:tx>
                <c:strRef>
                  <c:f>ln13rpsxBYE!$AC$26</c:f>
                  <c:strCache>
                    <c:ptCount val="1"/>
                    <c:pt idx="0">
                      <c:v>80 </c:v>
                    </c:pt>
                  </c:strCache>
                </c:strRef>
              </c:tx>
              <c:dLblPos val="t"/>
              <c:showLegendKey val="0"/>
              <c:showVal val="1"/>
              <c:showCatName val="0"/>
              <c:showSerName val="0"/>
              <c:showPercent val="0"/>
              <c:showBubbleSize val="0"/>
            </c:dLbl>
            <c:dLbl>
              <c:idx val="14"/>
              <c:tx>
                <c:strRef>
                  <c:f>ln13rpsxBYE!$AC$27</c:f>
                  <c:strCache>
                    <c:ptCount val="1"/>
                    <c:pt idx="0">
                      <c:v>81 </c:v>
                    </c:pt>
                  </c:strCache>
                </c:strRef>
              </c:tx>
              <c:dLblPos val="t"/>
              <c:showLegendKey val="0"/>
              <c:showVal val="1"/>
              <c:showCatName val="0"/>
              <c:showSerName val="0"/>
              <c:showPercent val="0"/>
              <c:showBubbleSize val="0"/>
            </c:dLbl>
            <c:dLbl>
              <c:idx val="15"/>
              <c:tx>
                <c:strRef>
                  <c:f>ln13rpsxBYE!$AC$28</c:f>
                  <c:strCache>
                    <c:ptCount val="1"/>
                    <c:pt idx="0">
                      <c:v>82 </c:v>
                    </c:pt>
                  </c:strCache>
                </c:strRef>
              </c:tx>
              <c:dLblPos val="t"/>
              <c:showLegendKey val="0"/>
              <c:showVal val="1"/>
              <c:showCatName val="0"/>
              <c:showSerName val="0"/>
              <c:showPercent val="0"/>
              <c:showBubbleSize val="0"/>
            </c:dLbl>
            <c:dLbl>
              <c:idx val="16"/>
              <c:tx>
                <c:strRef>
                  <c:f>ln13rpsxBYE!$AC$29</c:f>
                  <c:strCache>
                    <c:ptCount val="1"/>
                    <c:pt idx="0">
                      <c:v>83 </c:v>
                    </c:pt>
                  </c:strCache>
                </c:strRef>
              </c:tx>
              <c:dLblPos val="t"/>
              <c:showLegendKey val="0"/>
              <c:showVal val="1"/>
              <c:showCatName val="0"/>
              <c:showSerName val="0"/>
              <c:showPercent val="0"/>
              <c:showBubbleSize val="0"/>
            </c:dLbl>
            <c:dLbl>
              <c:idx val="17"/>
              <c:tx>
                <c:strRef>
                  <c:f>ln13rpsxBYE!$AC$30</c:f>
                  <c:strCache>
                    <c:ptCount val="1"/>
                    <c:pt idx="0">
                      <c:v>84 </c:v>
                    </c:pt>
                  </c:strCache>
                </c:strRef>
              </c:tx>
              <c:dLblPos val="t"/>
              <c:showLegendKey val="0"/>
              <c:showVal val="1"/>
              <c:showCatName val="0"/>
              <c:showSerName val="0"/>
              <c:showPercent val="0"/>
              <c:showBubbleSize val="0"/>
            </c:dLbl>
            <c:dLbl>
              <c:idx val="18"/>
              <c:tx>
                <c:strRef>
                  <c:f>ln13rpsxBYE!$AC$31</c:f>
                  <c:strCache>
                    <c:ptCount val="1"/>
                    <c:pt idx="0">
                      <c:v>85 </c:v>
                    </c:pt>
                  </c:strCache>
                </c:strRef>
              </c:tx>
              <c:dLblPos val="t"/>
              <c:showLegendKey val="0"/>
              <c:showVal val="1"/>
              <c:showCatName val="0"/>
              <c:showSerName val="0"/>
              <c:showPercent val="0"/>
              <c:showBubbleSize val="0"/>
            </c:dLbl>
            <c:dLbl>
              <c:idx val="19"/>
              <c:tx>
                <c:strRef>
                  <c:f>ln13rpsxBYE!$AC$32</c:f>
                  <c:strCache>
                    <c:ptCount val="1"/>
                    <c:pt idx="0">
                      <c:v>86 </c:v>
                    </c:pt>
                  </c:strCache>
                </c:strRef>
              </c:tx>
              <c:dLblPos val="t"/>
              <c:showLegendKey val="0"/>
              <c:showVal val="1"/>
              <c:showCatName val="0"/>
              <c:showSerName val="0"/>
              <c:showPercent val="0"/>
              <c:showBubbleSize val="0"/>
            </c:dLbl>
            <c:dLbl>
              <c:idx val="20"/>
              <c:tx>
                <c:strRef>
                  <c:f>ln13rpsxBYE!$AC$33</c:f>
                  <c:strCache>
                    <c:ptCount val="1"/>
                    <c:pt idx="0">
                      <c:v>87 </c:v>
                    </c:pt>
                  </c:strCache>
                </c:strRef>
              </c:tx>
              <c:dLblPos val="t"/>
              <c:showLegendKey val="0"/>
              <c:showVal val="1"/>
              <c:showCatName val="0"/>
              <c:showSerName val="0"/>
              <c:showPercent val="0"/>
              <c:showBubbleSize val="0"/>
            </c:dLbl>
            <c:dLbl>
              <c:idx val="21"/>
              <c:tx>
                <c:strRef>
                  <c:f>ln13rpsxBYE!$AC$34</c:f>
                  <c:strCache>
                    <c:ptCount val="1"/>
                    <c:pt idx="0">
                      <c:v>88 </c:v>
                    </c:pt>
                  </c:strCache>
                </c:strRef>
              </c:tx>
              <c:dLblPos val="t"/>
              <c:showLegendKey val="0"/>
              <c:showVal val="1"/>
              <c:showCatName val="0"/>
              <c:showSerName val="0"/>
              <c:showPercent val="0"/>
              <c:showBubbleSize val="0"/>
            </c:dLbl>
            <c:dLbl>
              <c:idx val="22"/>
              <c:tx>
                <c:strRef>
                  <c:f>ln13rpsxBYE!$AC$35</c:f>
                  <c:strCache>
                    <c:ptCount val="1"/>
                    <c:pt idx="0">
                      <c:v>89 </c:v>
                    </c:pt>
                  </c:strCache>
                </c:strRef>
              </c:tx>
              <c:dLblPos val="t"/>
              <c:showLegendKey val="0"/>
              <c:showVal val="1"/>
              <c:showCatName val="0"/>
              <c:showSerName val="0"/>
              <c:showPercent val="0"/>
              <c:showBubbleSize val="0"/>
            </c:dLbl>
            <c:dLbl>
              <c:idx val="23"/>
              <c:tx>
                <c:strRef>
                  <c:f>ln13rpsxBYE!$AC$36</c:f>
                  <c:strCache>
                    <c:ptCount val="1"/>
                    <c:pt idx="0">
                      <c:v>90 </c:v>
                    </c:pt>
                  </c:strCache>
                </c:strRef>
              </c:tx>
              <c:dLblPos val="t"/>
              <c:showLegendKey val="0"/>
              <c:showVal val="1"/>
              <c:showCatName val="0"/>
              <c:showSerName val="0"/>
              <c:showPercent val="0"/>
              <c:showBubbleSize val="0"/>
            </c:dLbl>
            <c:dLbl>
              <c:idx val="24"/>
              <c:tx>
                <c:strRef>
                  <c:f>ln13rpsxBYE!$AC$37</c:f>
                  <c:strCache>
                    <c:ptCount val="1"/>
                    <c:pt idx="0">
                      <c:v>91 </c:v>
                    </c:pt>
                  </c:strCache>
                </c:strRef>
              </c:tx>
              <c:dLblPos val="t"/>
              <c:showLegendKey val="0"/>
              <c:showVal val="1"/>
              <c:showCatName val="0"/>
              <c:showSerName val="0"/>
              <c:showPercent val="0"/>
              <c:showBubbleSize val="0"/>
            </c:dLbl>
            <c:dLbl>
              <c:idx val="25"/>
              <c:tx>
                <c:strRef>
                  <c:f>ln13rpsxBYE!$AC$38</c:f>
                  <c:strCache>
                    <c:ptCount val="1"/>
                    <c:pt idx="0">
                      <c:v>92 </c:v>
                    </c:pt>
                  </c:strCache>
                </c:strRef>
              </c:tx>
              <c:dLblPos val="t"/>
              <c:showLegendKey val="0"/>
              <c:showVal val="1"/>
              <c:showCatName val="0"/>
              <c:showSerName val="0"/>
              <c:showPercent val="0"/>
              <c:showBubbleSize val="0"/>
            </c:dLbl>
            <c:dLbl>
              <c:idx val="26"/>
              <c:tx>
                <c:strRef>
                  <c:f>ln13rpsxBYE!$AC$39</c:f>
                  <c:strCache>
                    <c:ptCount val="1"/>
                    <c:pt idx="0">
                      <c:v>93 </c:v>
                    </c:pt>
                  </c:strCache>
                </c:strRef>
              </c:tx>
              <c:dLblPos val="t"/>
              <c:showLegendKey val="0"/>
              <c:showVal val="1"/>
              <c:showCatName val="0"/>
              <c:showSerName val="0"/>
              <c:showPercent val="0"/>
              <c:showBubbleSize val="0"/>
            </c:dLbl>
            <c:dLbl>
              <c:idx val="27"/>
              <c:tx>
                <c:strRef>
                  <c:f>ln13rpsxBYE!$AC$40</c:f>
                  <c:strCache>
                    <c:ptCount val="1"/>
                    <c:pt idx="0">
                      <c:v>94 </c:v>
                    </c:pt>
                  </c:strCache>
                </c:strRef>
              </c:tx>
              <c:dLblPos val="t"/>
              <c:showLegendKey val="0"/>
              <c:showVal val="1"/>
              <c:showCatName val="0"/>
              <c:showSerName val="0"/>
              <c:showPercent val="0"/>
              <c:showBubbleSize val="0"/>
            </c:dLbl>
            <c:dLbl>
              <c:idx val="28"/>
              <c:tx>
                <c:strRef>
                  <c:f>ln13rpsxBYE!$AC$41</c:f>
                  <c:strCache>
                    <c:ptCount val="1"/>
                    <c:pt idx="0">
                      <c:v>95 </c:v>
                    </c:pt>
                  </c:strCache>
                </c:strRef>
              </c:tx>
              <c:dLblPos val="t"/>
              <c:showLegendKey val="0"/>
              <c:showVal val="1"/>
              <c:showCatName val="0"/>
              <c:showSerName val="0"/>
              <c:showPercent val="0"/>
              <c:showBubbleSize val="0"/>
            </c:dLbl>
            <c:dLbl>
              <c:idx val="29"/>
              <c:tx>
                <c:strRef>
                  <c:f>ln13rpsxBYE!$AC$42</c:f>
                  <c:strCache>
                    <c:ptCount val="1"/>
                    <c:pt idx="0">
                      <c:v>96 </c:v>
                    </c:pt>
                  </c:strCache>
                </c:strRef>
              </c:tx>
              <c:dLblPos val="t"/>
              <c:showLegendKey val="0"/>
              <c:showVal val="1"/>
              <c:showCatName val="0"/>
              <c:showSerName val="0"/>
              <c:showPercent val="0"/>
              <c:showBubbleSize val="0"/>
            </c:dLbl>
            <c:dLbl>
              <c:idx val="30"/>
              <c:tx>
                <c:strRef>
                  <c:f>ln13rpsxBYE!$AC$43</c:f>
                  <c:strCache>
                    <c:ptCount val="1"/>
                    <c:pt idx="0">
                      <c:v>97 </c:v>
                    </c:pt>
                  </c:strCache>
                </c:strRef>
              </c:tx>
              <c:dLblPos val="t"/>
              <c:showLegendKey val="0"/>
              <c:showVal val="1"/>
              <c:showCatName val="0"/>
              <c:showSerName val="0"/>
              <c:showPercent val="0"/>
              <c:showBubbleSize val="0"/>
            </c:dLbl>
            <c:dLbl>
              <c:idx val="31"/>
              <c:tx>
                <c:strRef>
                  <c:f>ln13rpsxBYE!$AC$44</c:f>
                  <c:strCache>
                    <c:ptCount val="1"/>
                    <c:pt idx="0">
                      <c:v>98 </c:v>
                    </c:pt>
                  </c:strCache>
                </c:strRef>
              </c:tx>
              <c:dLblPos val="t"/>
              <c:showLegendKey val="0"/>
              <c:showVal val="1"/>
              <c:showCatName val="0"/>
              <c:showSerName val="0"/>
              <c:showPercent val="0"/>
              <c:showBubbleSize val="0"/>
            </c:dLbl>
            <c:dLbl>
              <c:idx val="32"/>
              <c:tx>
                <c:strRef>
                  <c:f>ln13rpsxBYE!$AC$45</c:f>
                  <c:strCache>
                    <c:ptCount val="1"/>
                    <c:pt idx="0">
                      <c:v>99 </c:v>
                    </c:pt>
                  </c:strCache>
                </c:strRef>
              </c:tx>
              <c:dLblPos val="t"/>
              <c:showLegendKey val="0"/>
              <c:showVal val="1"/>
              <c:showCatName val="0"/>
              <c:showSerName val="0"/>
              <c:showPercent val="0"/>
              <c:showBubbleSize val="0"/>
            </c:dLbl>
            <c:dLbl>
              <c:idx val="33"/>
              <c:tx>
                <c:strRef>
                  <c:f>ln13rpsxBYE!$AC$46</c:f>
                  <c:strCache>
                    <c:ptCount val="1"/>
                    <c:pt idx="0">
                      <c:v>00</c:v>
                    </c:pt>
                  </c:strCache>
                </c:strRef>
              </c:tx>
              <c:dLblPos val="t"/>
              <c:showLegendKey val="0"/>
              <c:showVal val="1"/>
              <c:showCatName val="0"/>
              <c:showSerName val="0"/>
              <c:showPercent val="0"/>
              <c:showBubbleSize val="0"/>
            </c:dLbl>
            <c:dLbl>
              <c:idx val="34"/>
              <c:tx>
                <c:strRef>
                  <c:f>ln13rpsxBYE!$AC$47</c:f>
                  <c:strCache>
                    <c:ptCount val="1"/>
                    <c:pt idx="0">
                      <c:v>01</c:v>
                    </c:pt>
                  </c:strCache>
                </c:strRef>
              </c:tx>
              <c:dLblPos val="t"/>
              <c:showLegendKey val="0"/>
              <c:showVal val="1"/>
              <c:showCatName val="0"/>
              <c:showSerName val="0"/>
              <c:showPercent val="0"/>
              <c:showBubbleSize val="0"/>
            </c:dLbl>
            <c:dLbl>
              <c:idx val="35"/>
              <c:tx>
                <c:strRef>
                  <c:f>ln13rpsxBYE!$AC$48</c:f>
                  <c:strCache>
                    <c:ptCount val="1"/>
                    <c:pt idx="0">
                      <c:v>02</c:v>
                    </c:pt>
                  </c:strCache>
                </c:strRef>
              </c:tx>
              <c:dLblPos val="t"/>
              <c:showLegendKey val="0"/>
              <c:showVal val="1"/>
              <c:showCatName val="0"/>
              <c:showSerName val="0"/>
              <c:showPercent val="0"/>
              <c:showBubbleSize val="0"/>
            </c:dLbl>
            <c:dLbl>
              <c:idx val="36"/>
              <c:tx>
                <c:strRef>
                  <c:f>ln13rpsxBYE!$AC$49</c:f>
                  <c:strCache>
                    <c:ptCount val="1"/>
                    <c:pt idx="0">
                      <c:v>03</c:v>
                    </c:pt>
                  </c:strCache>
                </c:strRef>
              </c:tx>
              <c:dLblPos val="t"/>
              <c:showLegendKey val="0"/>
              <c:showVal val="1"/>
              <c:showCatName val="0"/>
              <c:showSerName val="0"/>
              <c:showPercent val="0"/>
              <c:showBubbleSize val="0"/>
            </c:dLbl>
            <c:dLbl>
              <c:idx val="37"/>
              <c:tx>
                <c:strRef>
                  <c:f>ln13rpsxBYE!$AC$50</c:f>
                  <c:strCache>
                    <c:ptCount val="1"/>
                    <c:pt idx="0">
                      <c:v>04</c:v>
                    </c:pt>
                  </c:strCache>
                </c:strRef>
              </c:tx>
              <c:dLblPos val="t"/>
              <c:showLegendKey val="0"/>
              <c:showVal val="1"/>
              <c:showCatName val="0"/>
              <c:showSerName val="0"/>
              <c:showPercent val="0"/>
              <c:showBubbleSize val="0"/>
            </c:dLbl>
            <c:dLbl>
              <c:idx val="38"/>
              <c:tx>
                <c:strRef>
                  <c:f>ln13rpsxBYE!$AC$51</c:f>
                  <c:strCache>
                    <c:ptCount val="1"/>
                    <c:pt idx="0">
                      <c:v>05</c:v>
                    </c:pt>
                  </c:strCache>
                </c:strRef>
              </c:tx>
              <c:dLblPos val="t"/>
              <c:showLegendKey val="0"/>
              <c:showVal val="1"/>
              <c:showCatName val="0"/>
              <c:showSerName val="0"/>
              <c:showPercent val="0"/>
              <c:showBubbleSize val="0"/>
            </c:dLbl>
            <c:dLbl>
              <c:idx val="39"/>
              <c:tx>
                <c:strRef>
                  <c:f>ln13rpsxBYE!$AC$52</c:f>
                  <c:strCache>
                    <c:ptCount val="1"/>
                    <c:pt idx="0">
                      <c:v>06</c:v>
                    </c:pt>
                  </c:strCache>
                </c:strRef>
              </c:tx>
              <c:dLblPos val="t"/>
              <c:showLegendKey val="0"/>
              <c:showVal val="1"/>
              <c:showCatName val="0"/>
              <c:showSerName val="0"/>
              <c:showPercent val="0"/>
              <c:showBubbleSize val="0"/>
            </c:dLbl>
            <c:dLbl>
              <c:idx val="40"/>
              <c:tx>
                <c:strRef>
                  <c:f>ln13rpsxBYE!$AC$53</c:f>
                  <c:strCache>
                    <c:ptCount val="1"/>
                    <c:pt idx="0">
                      <c:v>07</c:v>
                    </c:pt>
                  </c:strCache>
                </c:strRef>
              </c:tx>
              <c:dLblPos val="t"/>
              <c:showLegendKey val="0"/>
              <c:showVal val="1"/>
              <c:showCatName val="0"/>
              <c:showSerName val="0"/>
              <c:showPercent val="0"/>
              <c:showBubbleSize val="0"/>
            </c:dLbl>
            <c:dLbl>
              <c:idx val="41"/>
              <c:tx>
                <c:strRef>
                  <c:f>ln13rpsxBYE!$AC$54</c:f>
                  <c:strCache>
                    <c:ptCount val="1"/>
                    <c:pt idx="0">
                      <c:v>08</c:v>
                    </c:pt>
                  </c:strCache>
                </c:strRef>
              </c:tx>
              <c:dLblPos val="t"/>
              <c:showLegendKey val="0"/>
              <c:showVal val="1"/>
              <c:showCatName val="0"/>
              <c:showSerName val="0"/>
              <c:showPercent val="0"/>
              <c:showBubbleSize val="0"/>
            </c:dLbl>
            <c:dLbl>
              <c:idx val="42"/>
              <c:tx>
                <c:strRef>
                  <c:f>ln13rpsxBYE!$AC$55</c:f>
                  <c:strCache>
                    <c:ptCount val="1"/>
                    <c:pt idx="0">
                      <c:v>09</c:v>
                    </c:pt>
                  </c:strCache>
                </c:strRef>
              </c:tx>
              <c:dLblPos val="t"/>
              <c:showLegendKey val="0"/>
              <c:showVal val="1"/>
              <c:showCatName val="0"/>
              <c:showSerName val="0"/>
              <c:showPercent val="0"/>
              <c:showBubbleSize val="0"/>
            </c:dLbl>
            <c:dLbl>
              <c:idx val="43"/>
              <c:tx>
                <c:strRef>
                  <c:f>ln13rpsxBYE!$AC$56</c:f>
                  <c:strCache>
                    <c:ptCount val="1"/>
                    <c:pt idx="0">
                      <c:v>10</c:v>
                    </c:pt>
                  </c:strCache>
                </c:strRef>
              </c:tx>
              <c:dLblPos val="t"/>
              <c:showLegendKey val="0"/>
              <c:showVal val="1"/>
              <c:showCatName val="0"/>
              <c:showSerName val="0"/>
              <c:showPercent val="0"/>
              <c:showBubbleSize val="0"/>
            </c:dLbl>
            <c:dLbl>
              <c:idx val="44"/>
              <c:tx>
                <c:strRef>
                  <c:f>ln13rpsxBYE!$AC$60</c:f>
                  <c:strCache>
                    <c:ptCount val="1"/>
                    <c:pt idx="0">
                      <c:v>11</c:v>
                    </c:pt>
                  </c:strCache>
                </c:strRef>
              </c:tx>
              <c:dLblPos val="t"/>
              <c:showLegendKey val="0"/>
              <c:showVal val="1"/>
              <c:showCatName val="0"/>
              <c:showSerName val="0"/>
              <c:showPercent val="0"/>
              <c:showBubbleSize val="0"/>
            </c:dLbl>
            <c:showLegendKey val="0"/>
            <c:showVal val="1"/>
            <c:showCatName val="0"/>
            <c:showSerName val="0"/>
            <c:showPercent val="0"/>
            <c:showBubbleSize val="0"/>
            <c:showLeaderLines val="0"/>
          </c:dLbls>
          <c:trendline>
            <c:spPr>
              <a:ln w="25400">
                <a:solidFill>
                  <a:srgbClr val="000000"/>
                </a:solidFill>
                <a:prstDash val="solid"/>
              </a:ln>
            </c:spPr>
            <c:trendlineType val="linear"/>
            <c:dispRSqr val="1"/>
            <c:dispEq val="1"/>
            <c:trendlineLbl>
              <c:layout>
                <c:manualLayout>
                  <c:x val="8.7255407536688413E-3"/>
                  <c:y val="-0.39790089704466697"/>
                </c:manualLayout>
              </c:layout>
              <c:numFmt formatCode="General" sourceLinked="0"/>
              <c:spPr>
                <a:noFill/>
                <a:ln w="25400">
                  <a:noFill/>
                </a:ln>
              </c:spPr>
              <c:txPr>
                <a:bodyPr/>
                <a:lstStyle/>
                <a:p>
                  <a:pPr algn="ctr" rtl="1">
                    <a:defRPr sz="1100" b="0" i="0" u="none" strike="noStrike" baseline="0">
                      <a:solidFill>
                        <a:srgbClr val="000000"/>
                      </a:solidFill>
                      <a:latin typeface="Times New Roman"/>
                      <a:ea typeface="Times New Roman"/>
                      <a:cs typeface="Times New Roman"/>
                    </a:defRPr>
                  </a:pPr>
                  <a:endParaRPr lang="en-US"/>
                </a:p>
              </c:txPr>
            </c:trendlineLbl>
          </c:trendline>
          <c:xVal>
            <c:numRef>
              <c:f>ln13rpsxBYE!$Z$13:$Z$62</c:f>
              <c:numCache>
                <c:formatCode>#,##0_);\(#,##0\)</c:formatCode>
                <c:ptCount val="50"/>
                <c:pt idx="0">
                  <c:v>416093.18072477408</c:v>
                </c:pt>
                <c:pt idx="1">
                  <c:v>271007.35305366298</c:v>
                </c:pt>
                <c:pt idx="2">
                  <c:v>233990.19926972012</c:v>
                </c:pt>
                <c:pt idx="3">
                  <c:v>373563.22002911044</c:v>
                </c:pt>
                <c:pt idx="4">
                  <c:v>374673.10456808144</c:v>
                </c:pt>
                <c:pt idx="5">
                  <c:v>152518.20574374442</c:v>
                </c:pt>
                <c:pt idx="6">
                  <c:v>234701.76831870052</c:v>
                </c:pt>
                <c:pt idx="7">
                  <c:v>527822.37255732983</c:v>
                </c:pt>
                <c:pt idx="8">
                  <c:v>329729.48946597357</c:v>
                </c:pt>
                <c:pt idx="9">
                  <c:v>585402.09872581216</c:v>
                </c:pt>
                <c:pt idx="10">
                  <c:v>408348.74565424217</c:v>
                </c:pt>
                <c:pt idx="11">
                  <c:v>432244.89386258059</c:v>
                </c:pt>
                <c:pt idx="12">
                  <c:v>209834.48285271373</c:v>
                </c:pt>
                <c:pt idx="13">
                  <c:v>172586.43317981472</c:v>
                </c:pt>
                <c:pt idx="14">
                  <c:v>248496.46908689401</c:v>
                </c:pt>
                <c:pt idx="15">
                  <c:v>357096.4249518197</c:v>
                </c:pt>
                <c:pt idx="16">
                  <c:v>234393.70547443983</c:v>
                </c:pt>
                <c:pt idx="17">
                  <c:v>507703.14743589744</c:v>
                </c:pt>
                <c:pt idx="18">
                  <c:v>609245.6797237664</c:v>
                </c:pt>
                <c:pt idx="19">
                  <c:v>779344.03185492684</c:v>
                </c:pt>
                <c:pt idx="20">
                  <c:v>609259.17976030742</c:v>
                </c:pt>
                <c:pt idx="21">
                  <c:v>689904.86811018642</c:v>
                </c:pt>
                <c:pt idx="22">
                  <c:v>837471.73615241167</c:v>
                </c:pt>
                <c:pt idx="23">
                  <c:v>644071.2163551402</c:v>
                </c:pt>
                <c:pt idx="24">
                  <c:v>512181.00557456672</c:v>
                </c:pt>
                <c:pt idx="25">
                  <c:v>505998.99389258347</c:v>
                </c:pt>
                <c:pt idx="26">
                  <c:v>495779.97595582763</c:v>
                </c:pt>
                <c:pt idx="27">
                  <c:v>581067.37842492911</c:v>
                </c:pt>
                <c:pt idx="28">
                  <c:v>619668.01983819774</c:v>
                </c:pt>
                <c:pt idx="29">
                  <c:v>567389.92208594619</c:v>
                </c:pt>
                <c:pt idx="30">
                  <c:v>558331.04056437232</c:v>
                </c:pt>
                <c:pt idx="31">
                  <c:v>652721.10807092034</c:v>
                </c:pt>
                <c:pt idx="32">
                  <c:v>614989.28339619539</c:v>
                </c:pt>
                <c:pt idx="33">
                  <c:v>528715.42146727804</c:v>
                </c:pt>
                <c:pt idx="34">
                  <c:v>674836.32951188635</c:v>
                </c:pt>
                <c:pt idx="35">
                  <c:v>900332.70692073856</c:v>
                </c:pt>
                <c:pt idx="36">
                  <c:v>635380.79722662957</c:v>
                </c:pt>
                <c:pt idx="37">
                  <c:v>648887</c:v>
                </c:pt>
                <c:pt idx="38">
                  <c:v>537592</c:v>
                </c:pt>
                <c:pt idx="39">
                  <c:v>680513</c:v>
                </c:pt>
                <c:pt idx="40">
                  <c:v>732389</c:v>
                </c:pt>
                <c:pt idx="41">
                  <c:v>653564</c:v>
                </c:pt>
                <c:pt idx="42">
                  <c:v>586352</c:v>
                </c:pt>
                <c:pt idx="43">
                  <c:v>631646.30056050722</c:v>
                </c:pt>
                <c:pt idx="44">
                  <c:v>777081</c:v>
                </c:pt>
                <c:pt idx="45">
                  <c:v>786913</c:v>
                </c:pt>
                <c:pt idx="46">
                  <c:v>615240</c:v>
                </c:pt>
                <c:pt idx="47">
                  <c:v>604964</c:v>
                </c:pt>
                <c:pt idx="49">
                  <c:v>668242</c:v>
                </c:pt>
              </c:numCache>
            </c:numRef>
          </c:xVal>
          <c:yVal>
            <c:numRef>
              <c:f>ln13rpsxBYE!$AB$13:$AB$60</c:f>
              <c:numCache>
                <c:formatCode>General</c:formatCode>
                <c:ptCount val="48"/>
                <c:pt idx="0">
                  <c:v>0.2984564768423042</c:v>
                </c:pt>
                <c:pt idx="1">
                  <c:v>0.59617047723731031</c:v>
                </c:pt>
                <c:pt idx="2">
                  <c:v>1.2735095152178313</c:v>
                </c:pt>
                <c:pt idx="3">
                  <c:v>1.1040927693302023</c:v>
                </c:pt>
                <c:pt idx="4">
                  <c:v>0.86131587657184083</c:v>
                </c:pt>
                <c:pt idx="5">
                  <c:v>1.5349541614131024</c:v>
                </c:pt>
                <c:pt idx="6">
                  <c:v>0.92685597540106757</c:v>
                </c:pt>
                <c:pt idx="7">
                  <c:v>0.19034048359242081</c:v>
                </c:pt>
                <c:pt idx="8">
                  <c:v>4.9939187004485797E-2</c:v>
                </c:pt>
                <c:pt idx="9">
                  <c:v>0.47455890932722866</c:v>
                </c:pt>
                <c:pt idx="10">
                  <c:v>0.7286204367594411</c:v>
                </c:pt>
                <c:pt idx="11">
                  <c:v>-0.37403208769647928</c:v>
                </c:pt>
                <c:pt idx="12">
                  <c:v>0.74665099662296908</c:v>
                </c:pt>
                <c:pt idx="13">
                  <c:v>0.86729503428874577</c:v>
                </c:pt>
                <c:pt idx="14">
                  <c:v>1.2837118655439153</c:v>
                </c:pt>
                <c:pt idx="15">
                  <c:v>1.3312041835027497</c:v>
                </c:pt>
                <c:pt idx="16">
                  <c:v>1.248771214947052</c:v>
                </c:pt>
                <c:pt idx="17">
                  <c:v>1.0316243299192733</c:v>
                </c:pt>
                <c:pt idx="18">
                  <c:v>0.53879126633140162</c:v>
                </c:pt>
                <c:pt idx="19">
                  <c:v>-6.5808308941625329E-2</c:v>
                </c:pt>
                <c:pt idx="20">
                  <c:v>0.80381378273620796</c:v>
                </c:pt>
                <c:pt idx="21">
                  <c:v>-0.25078063684317692</c:v>
                </c:pt>
                <c:pt idx="22">
                  <c:v>0.19022877947641526</c:v>
                </c:pt>
                <c:pt idx="23">
                  <c:v>-4.1147720816980824E-3</c:v>
                </c:pt>
                <c:pt idx="24">
                  <c:v>0.92557438295378469</c:v>
                </c:pt>
                <c:pt idx="25">
                  <c:v>0.75381577803135147</c:v>
                </c:pt>
                <c:pt idx="26">
                  <c:v>0.98678631687362295</c:v>
                </c:pt>
                <c:pt idx="27">
                  <c:v>0.82999814562517937</c:v>
                </c:pt>
                <c:pt idx="28">
                  <c:v>0.53713162106090884</c:v>
                </c:pt>
                <c:pt idx="29">
                  <c:v>1.2544332560049241</c:v>
                </c:pt>
                <c:pt idx="30">
                  <c:v>1.464605892267306</c:v>
                </c:pt>
                <c:pt idx="31">
                  <c:v>0.53358602507701336</c:v>
                </c:pt>
                <c:pt idx="32">
                  <c:v>0.68223540325798682</c:v>
                </c:pt>
                <c:pt idx="33">
                  <c:v>0.56448672332758976</c:v>
                </c:pt>
                <c:pt idx="34">
                  <c:v>0.90673402116589608</c:v>
                </c:pt>
                <c:pt idx="35">
                  <c:v>0.32884370743835395</c:v>
                </c:pt>
                <c:pt idx="36">
                  <c:v>0.77559006474939862</c:v>
                </c:pt>
                <c:pt idx="37">
                  <c:v>0.42868418656866869</c:v>
                </c:pt>
                <c:pt idx="38">
                  <c:v>0.98138467157840792</c:v>
                </c:pt>
                <c:pt idx="39">
                  <c:v>0.77179769887272742</c:v>
                </c:pt>
                <c:pt idx="40">
                  <c:v>1.136376814144155</c:v>
                </c:pt>
                <c:pt idx="41">
                  <c:v>0.19735620928867606</c:v>
                </c:pt>
                <c:pt idx="42">
                  <c:v>0.47244629744487654</c:v>
                </c:pt>
                <c:pt idx="43">
                  <c:v>0.14539221045206133</c:v>
                </c:pt>
                <c:pt idx="44">
                  <c:v>0.85784737750994378</c:v>
                </c:pt>
                <c:pt idx="45">
                  <c:v>0.97166025872045636</c:v>
                </c:pt>
                <c:pt idx="46">
                  <c:v>0.87646037720472891</c:v>
                </c:pt>
                <c:pt idx="47">
                  <c:v>1.1317053066336897</c:v>
                </c:pt>
              </c:numCache>
            </c:numRef>
          </c:yVal>
          <c:smooth val="0"/>
        </c:ser>
        <c:ser>
          <c:idx val="1"/>
          <c:order val="1"/>
          <c:spPr>
            <a:ln w="3175">
              <a:solidFill>
                <a:srgbClr val="0000FF"/>
              </a:solidFill>
              <a:prstDash val="solid"/>
            </a:ln>
          </c:spPr>
          <c:marker>
            <c:symbol val="none"/>
          </c:marker>
          <c:xVal>
            <c:numRef>
              <c:f>ln13rpsxBYE!$Z$13:$Z$62</c:f>
              <c:numCache>
                <c:formatCode>#,##0_);\(#,##0\)</c:formatCode>
                <c:ptCount val="50"/>
                <c:pt idx="0">
                  <c:v>416093.18072477408</c:v>
                </c:pt>
                <c:pt idx="1">
                  <c:v>271007.35305366298</c:v>
                </c:pt>
                <c:pt idx="2">
                  <c:v>233990.19926972012</c:v>
                </c:pt>
                <c:pt idx="3">
                  <c:v>373563.22002911044</c:v>
                </c:pt>
                <c:pt idx="4">
                  <c:v>374673.10456808144</c:v>
                </c:pt>
                <c:pt idx="5">
                  <c:v>152518.20574374442</c:v>
                </c:pt>
                <c:pt idx="6">
                  <c:v>234701.76831870052</c:v>
                </c:pt>
                <c:pt idx="7">
                  <c:v>527822.37255732983</c:v>
                </c:pt>
                <c:pt idx="8">
                  <c:v>329729.48946597357</c:v>
                </c:pt>
                <c:pt idx="9">
                  <c:v>585402.09872581216</c:v>
                </c:pt>
                <c:pt idx="10">
                  <c:v>408348.74565424217</c:v>
                </c:pt>
                <c:pt idx="11">
                  <c:v>432244.89386258059</c:v>
                </c:pt>
                <c:pt idx="12">
                  <c:v>209834.48285271373</c:v>
                </c:pt>
                <c:pt idx="13">
                  <c:v>172586.43317981472</c:v>
                </c:pt>
                <c:pt idx="14">
                  <c:v>248496.46908689401</c:v>
                </c:pt>
                <c:pt idx="15">
                  <c:v>357096.4249518197</c:v>
                </c:pt>
                <c:pt idx="16">
                  <c:v>234393.70547443983</c:v>
                </c:pt>
                <c:pt idx="17">
                  <c:v>507703.14743589744</c:v>
                </c:pt>
                <c:pt idx="18">
                  <c:v>609245.6797237664</c:v>
                </c:pt>
                <c:pt idx="19">
                  <c:v>779344.03185492684</c:v>
                </c:pt>
                <c:pt idx="20">
                  <c:v>609259.17976030742</c:v>
                </c:pt>
                <c:pt idx="21">
                  <c:v>689904.86811018642</c:v>
                </c:pt>
                <c:pt idx="22">
                  <c:v>837471.73615241167</c:v>
                </c:pt>
                <c:pt idx="23">
                  <c:v>644071.2163551402</c:v>
                </c:pt>
                <c:pt idx="24">
                  <c:v>512181.00557456672</c:v>
                </c:pt>
                <c:pt idx="25">
                  <c:v>505998.99389258347</c:v>
                </c:pt>
                <c:pt idx="26">
                  <c:v>495779.97595582763</c:v>
                </c:pt>
                <c:pt idx="27">
                  <c:v>581067.37842492911</c:v>
                </c:pt>
                <c:pt idx="28">
                  <c:v>619668.01983819774</c:v>
                </c:pt>
                <c:pt idx="29">
                  <c:v>567389.92208594619</c:v>
                </c:pt>
                <c:pt idx="30">
                  <c:v>558331.04056437232</c:v>
                </c:pt>
                <c:pt idx="31">
                  <c:v>652721.10807092034</c:v>
                </c:pt>
                <c:pt idx="32">
                  <c:v>614989.28339619539</c:v>
                </c:pt>
                <c:pt idx="33">
                  <c:v>528715.42146727804</c:v>
                </c:pt>
                <c:pt idx="34">
                  <c:v>674836.32951188635</c:v>
                </c:pt>
                <c:pt idx="35">
                  <c:v>900332.70692073856</c:v>
                </c:pt>
                <c:pt idx="36">
                  <c:v>635380.79722662957</c:v>
                </c:pt>
                <c:pt idx="37">
                  <c:v>648887</c:v>
                </c:pt>
                <c:pt idx="38">
                  <c:v>537592</c:v>
                </c:pt>
                <c:pt idx="39">
                  <c:v>680513</c:v>
                </c:pt>
                <c:pt idx="40">
                  <c:v>732389</c:v>
                </c:pt>
                <c:pt idx="41">
                  <c:v>653564</c:v>
                </c:pt>
                <c:pt idx="42">
                  <c:v>586352</c:v>
                </c:pt>
                <c:pt idx="43">
                  <c:v>631646.30056050722</c:v>
                </c:pt>
                <c:pt idx="44">
                  <c:v>777081</c:v>
                </c:pt>
                <c:pt idx="45">
                  <c:v>786913</c:v>
                </c:pt>
                <c:pt idx="46">
                  <c:v>615240</c:v>
                </c:pt>
                <c:pt idx="47">
                  <c:v>604964</c:v>
                </c:pt>
                <c:pt idx="49">
                  <c:v>668242</c:v>
                </c:pt>
              </c:numCache>
            </c:numRef>
          </c:xVal>
          <c:yVal>
            <c:numRef>
              <c:f>ln13rpsxBYE!$AD$13:$AD$60</c:f>
              <c:numCache>
                <c:formatCode>General</c:formatCode>
                <c:ptCount val="48"/>
                <c:pt idx="0">
                  <c:v>0.25641598890438555</c:v>
                </c:pt>
                <c:pt idx="1">
                  <c:v>0.38843325059789846</c:v>
                </c:pt>
                <c:pt idx="2">
                  <c:v>0.42211609444755205</c:v>
                </c:pt>
                <c:pt idx="3">
                  <c:v>0.29511507510115698</c:v>
                </c:pt>
                <c:pt idx="4">
                  <c:v>0.29410516310642332</c:v>
                </c:pt>
                <c:pt idx="5">
                  <c:v>0.49624952059026661</c:v>
                </c:pt>
                <c:pt idx="6">
                  <c:v>0.42146861978472561</c:v>
                </c:pt>
                <c:pt idx="7">
                  <c:v>0.15475077326113373</c:v>
                </c:pt>
                <c:pt idx="8">
                  <c:v>0.33500049445358637</c:v>
                </c:pt>
                <c:pt idx="9">
                  <c:v>0.10235752507250351</c:v>
                </c:pt>
                <c:pt idx="10">
                  <c:v>0.26346284611839599</c:v>
                </c:pt>
                <c:pt idx="11">
                  <c:v>0.24171913688003777</c:v>
                </c:pt>
                <c:pt idx="12">
                  <c:v>0.44409599135965538</c:v>
                </c:pt>
                <c:pt idx="13">
                  <c:v>0.47798893321464542</c:v>
                </c:pt>
                <c:pt idx="14">
                  <c:v>0.40891647288980926</c:v>
                </c:pt>
                <c:pt idx="15">
                  <c:v>0.31009862814604894</c:v>
                </c:pt>
                <c:pt idx="16">
                  <c:v>0.42174893395311563</c:v>
                </c:pt>
                <c:pt idx="17">
                  <c:v>0.17305776471965029</c:v>
                </c:pt>
                <c:pt idx="18">
                  <c:v>8.0661648067528735E-2</c:v>
                </c:pt>
                <c:pt idx="19">
                  <c:v>-7.411514183257828E-2</c:v>
                </c:pt>
                <c:pt idx="20">
                  <c:v>8.0649364043061889E-2</c:v>
                </c:pt>
                <c:pt idx="21">
                  <c:v>7.2678138652331192E-3</c:v>
                </c:pt>
                <c:pt idx="22">
                  <c:v>-0.12700700917112862</c:v>
                </c:pt>
                <c:pt idx="23">
                  <c:v>4.8973012058895815E-2</c:v>
                </c:pt>
                <c:pt idx="24">
                  <c:v>0.16898324841982815</c:v>
                </c:pt>
                <c:pt idx="25">
                  <c:v>0.17460841710179464</c:v>
                </c:pt>
                <c:pt idx="26">
                  <c:v>0.18390695981173866</c:v>
                </c:pt>
                <c:pt idx="27">
                  <c:v>0.10630179663586459</c:v>
                </c:pt>
                <c:pt idx="28">
                  <c:v>7.1178097369077986E-2</c:v>
                </c:pt>
                <c:pt idx="29">
                  <c:v>0.11874725986124779</c:v>
                </c:pt>
                <c:pt idx="30">
                  <c:v>0.12699016512415984</c:v>
                </c:pt>
                <c:pt idx="31">
                  <c:v>4.1102256957637362E-2</c:v>
                </c:pt>
                <c:pt idx="32">
                  <c:v>7.5435397914373037E-2</c:v>
                </c:pt>
                <c:pt idx="33">
                  <c:v>0.15393816548584494</c:v>
                </c:pt>
                <c:pt idx="34">
                  <c:v>2.0979057998464778E-2</c:v>
                </c:pt>
                <c:pt idx="35">
                  <c:v>-0.18420579530648096</c:v>
                </c:pt>
                <c:pt idx="36">
                  <c:v>5.688064407734239E-2</c:v>
                </c:pt>
                <c:pt idx="37">
                  <c:v>4.4591008799804266E-2</c:v>
                </c:pt>
                <c:pt idx="38">
                  <c:v>0.14586114232026182</c:v>
                </c:pt>
                <c:pt idx="39">
                  <c:v>1.5813712041477412E-2</c:v>
                </c:pt>
                <c:pt idx="40">
                  <c:v>-3.1389571542755901E-2</c:v>
                </c:pt>
                <c:pt idx="41">
                  <c:v>4.0335288286976412E-2</c:v>
                </c:pt>
                <c:pt idx="42">
                  <c:v>0.10149318589402967</c:v>
                </c:pt>
                <c:pt idx="43">
                  <c:v>6.0278756984570081E-2</c:v>
                </c:pt>
                <c:pt idx="44">
                  <c:v>-7.2055951948850394E-2</c:v>
                </c:pt>
                <c:pt idx="45">
                  <c:v>-8.1002337256125156E-2</c:v>
                </c:pt>
                <c:pt idx="46">
                  <c:v>7.5207264539620455E-2</c:v>
                </c:pt>
                <c:pt idx="47">
                  <c:v>8.4557656669152048E-2</c:v>
                </c:pt>
              </c:numCache>
            </c:numRef>
          </c:yVal>
          <c:smooth val="0"/>
        </c:ser>
        <c:ser>
          <c:idx val="2"/>
          <c:order val="2"/>
          <c:spPr>
            <a:ln w="3175">
              <a:solidFill>
                <a:srgbClr val="FFFF00"/>
              </a:solidFill>
              <a:prstDash val="solid"/>
            </a:ln>
          </c:spPr>
          <c:marker>
            <c:symbol val="none"/>
          </c:marker>
          <c:xVal>
            <c:numRef>
              <c:f>ln13rpsxBYE!$Z$13:$Z$62</c:f>
              <c:numCache>
                <c:formatCode>#,##0_);\(#,##0\)</c:formatCode>
                <c:ptCount val="50"/>
                <c:pt idx="0">
                  <c:v>416093.18072477408</c:v>
                </c:pt>
                <c:pt idx="1">
                  <c:v>271007.35305366298</c:v>
                </c:pt>
                <c:pt idx="2">
                  <c:v>233990.19926972012</c:v>
                </c:pt>
                <c:pt idx="3">
                  <c:v>373563.22002911044</c:v>
                </c:pt>
                <c:pt idx="4">
                  <c:v>374673.10456808144</c:v>
                </c:pt>
                <c:pt idx="5">
                  <c:v>152518.20574374442</c:v>
                </c:pt>
                <c:pt idx="6">
                  <c:v>234701.76831870052</c:v>
                </c:pt>
                <c:pt idx="7">
                  <c:v>527822.37255732983</c:v>
                </c:pt>
                <c:pt idx="8">
                  <c:v>329729.48946597357</c:v>
                </c:pt>
                <c:pt idx="9">
                  <c:v>585402.09872581216</c:v>
                </c:pt>
                <c:pt idx="10">
                  <c:v>408348.74565424217</c:v>
                </c:pt>
                <c:pt idx="11">
                  <c:v>432244.89386258059</c:v>
                </c:pt>
                <c:pt idx="12">
                  <c:v>209834.48285271373</c:v>
                </c:pt>
                <c:pt idx="13">
                  <c:v>172586.43317981472</c:v>
                </c:pt>
                <c:pt idx="14">
                  <c:v>248496.46908689401</c:v>
                </c:pt>
                <c:pt idx="15">
                  <c:v>357096.4249518197</c:v>
                </c:pt>
                <c:pt idx="16">
                  <c:v>234393.70547443983</c:v>
                </c:pt>
                <c:pt idx="17">
                  <c:v>507703.14743589744</c:v>
                </c:pt>
                <c:pt idx="18">
                  <c:v>609245.6797237664</c:v>
                </c:pt>
                <c:pt idx="19">
                  <c:v>779344.03185492684</c:v>
                </c:pt>
                <c:pt idx="20">
                  <c:v>609259.17976030742</c:v>
                </c:pt>
                <c:pt idx="21">
                  <c:v>689904.86811018642</c:v>
                </c:pt>
                <c:pt idx="22">
                  <c:v>837471.73615241167</c:v>
                </c:pt>
                <c:pt idx="23">
                  <c:v>644071.2163551402</c:v>
                </c:pt>
                <c:pt idx="24">
                  <c:v>512181.00557456672</c:v>
                </c:pt>
                <c:pt idx="25">
                  <c:v>505998.99389258347</c:v>
                </c:pt>
                <c:pt idx="26">
                  <c:v>495779.97595582763</c:v>
                </c:pt>
                <c:pt idx="27">
                  <c:v>581067.37842492911</c:v>
                </c:pt>
                <c:pt idx="28">
                  <c:v>619668.01983819774</c:v>
                </c:pt>
                <c:pt idx="29">
                  <c:v>567389.92208594619</c:v>
                </c:pt>
                <c:pt idx="30">
                  <c:v>558331.04056437232</c:v>
                </c:pt>
                <c:pt idx="31">
                  <c:v>652721.10807092034</c:v>
                </c:pt>
                <c:pt idx="32">
                  <c:v>614989.28339619539</c:v>
                </c:pt>
                <c:pt idx="33">
                  <c:v>528715.42146727804</c:v>
                </c:pt>
                <c:pt idx="34">
                  <c:v>674836.32951188635</c:v>
                </c:pt>
                <c:pt idx="35">
                  <c:v>900332.70692073856</c:v>
                </c:pt>
                <c:pt idx="36">
                  <c:v>635380.79722662957</c:v>
                </c:pt>
                <c:pt idx="37">
                  <c:v>648887</c:v>
                </c:pt>
                <c:pt idx="38">
                  <c:v>537592</c:v>
                </c:pt>
                <c:pt idx="39">
                  <c:v>680513</c:v>
                </c:pt>
                <c:pt idx="40">
                  <c:v>732389</c:v>
                </c:pt>
                <c:pt idx="41">
                  <c:v>653564</c:v>
                </c:pt>
                <c:pt idx="42">
                  <c:v>586352</c:v>
                </c:pt>
                <c:pt idx="43">
                  <c:v>631646.30056050722</c:v>
                </c:pt>
                <c:pt idx="44">
                  <c:v>777081</c:v>
                </c:pt>
                <c:pt idx="45">
                  <c:v>786913</c:v>
                </c:pt>
                <c:pt idx="46">
                  <c:v>615240</c:v>
                </c:pt>
                <c:pt idx="47">
                  <c:v>604964</c:v>
                </c:pt>
                <c:pt idx="49">
                  <c:v>668242</c:v>
                </c:pt>
              </c:numCache>
            </c:numRef>
          </c:xVal>
          <c:yVal>
            <c:numRef>
              <c:f>ln13rpsxBYE!$AE$13:$AE$60</c:f>
              <c:numCache>
                <c:formatCode>General</c:formatCode>
                <c:ptCount val="48"/>
                <c:pt idx="0">
                  <c:v>1.3597091529412038</c:v>
                </c:pt>
                <c:pt idx="1">
                  <c:v>1.4917264146347167</c:v>
                </c:pt>
                <c:pt idx="2">
                  <c:v>1.5254092584843701</c:v>
                </c:pt>
                <c:pt idx="3">
                  <c:v>1.3984082391379751</c:v>
                </c:pt>
                <c:pt idx="4">
                  <c:v>1.3973983271432415</c:v>
                </c:pt>
                <c:pt idx="5">
                  <c:v>1.5995426846270848</c:v>
                </c:pt>
                <c:pt idx="6">
                  <c:v>1.5247617838215439</c:v>
                </c:pt>
                <c:pt idx="7">
                  <c:v>1.2580439372979519</c:v>
                </c:pt>
                <c:pt idx="8">
                  <c:v>1.4382936584904047</c:v>
                </c:pt>
                <c:pt idx="9">
                  <c:v>1.2056506891093217</c:v>
                </c:pt>
                <c:pt idx="10">
                  <c:v>1.3667560101552141</c:v>
                </c:pt>
                <c:pt idx="11">
                  <c:v>1.345012300916856</c:v>
                </c:pt>
                <c:pt idx="12">
                  <c:v>1.5473891553964736</c:v>
                </c:pt>
                <c:pt idx="13">
                  <c:v>1.5812820972514636</c:v>
                </c:pt>
                <c:pt idx="14">
                  <c:v>1.5122096369266274</c:v>
                </c:pt>
                <c:pt idx="15">
                  <c:v>1.4133917921828671</c:v>
                </c:pt>
                <c:pt idx="16">
                  <c:v>1.525042097989934</c:v>
                </c:pt>
                <c:pt idx="17">
                  <c:v>1.2763509287564685</c:v>
                </c:pt>
                <c:pt idx="18">
                  <c:v>1.1839548121043468</c:v>
                </c:pt>
                <c:pt idx="19">
                  <c:v>1.0291780222042399</c:v>
                </c:pt>
                <c:pt idx="20">
                  <c:v>1.1839425280798801</c:v>
                </c:pt>
                <c:pt idx="21">
                  <c:v>1.1105609779020513</c:v>
                </c:pt>
                <c:pt idx="22">
                  <c:v>0.97628615486568959</c:v>
                </c:pt>
                <c:pt idx="23">
                  <c:v>1.152266176095714</c:v>
                </c:pt>
                <c:pt idx="24">
                  <c:v>1.2722764124566464</c:v>
                </c:pt>
                <c:pt idx="25">
                  <c:v>1.2779015811386127</c:v>
                </c:pt>
                <c:pt idx="26">
                  <c:v>1.2872001238485569</c:v>
                </c:pt>
                <c:pt idx="27">
                  <c:v>1.2095949606726828</c:v>
                </c:pt>
                <c:pt idx="28">
                  <c:v>1.1744712614058961</c:v>
                </c:pt>
                <c:pt idx="29">
                  <c:v>1.222040423898066</c:v>
                </c:pt>
                <c:pt idx="30">
                  <c:v>1.230283329160978</c:v>
                </c:pt>
                <c:pt idx="31">
                  <c:v>1.1443954209944556</c:v>
                </c:pt>
                <c:pt idx="32">
                  <c:v>1.1787285619511914</c:v>
                </c:pt>
                <c:pt idx="33">
                  <c:v>1.2572313295226631</c:v>
                </c:pt>
                <c:pt idx="34">
                  <c:v>1.124272222035283</c:v>
                </c:pt>
                <c:pt idx="35">
                  <c:v>0.91908736873033725</c:v>
                </c:pt>
                <c:pt idx="36">
                  <c:v>1.1601738081141606</c:v>
                </c:pt>
                <c:pt idx="37">
                  <c:v>1.1478841728366225</c:v>
                </c:pt>
                <c:pt idx="38">
                  <c:v>1.24915430635708</c:v>
                </c:pt>
                <c:pt idx="39">
                  <c:v>1.1191068760782956</c:v>
                </c:pt>
                <c:pt idx="40">
                  <c:v>1.0719035924940623</c:v>
                </c:pt>
                <c:pt idx="41">
                  <c:v>1.1436284523237945</c:v>
                </c:pt>
                <c:pt idx="42">
                  <c:v>1.2047863499308478</c:v>
                </c:pt>
                <c:pt idx="43">
                  <c:v>1.1635719210213882</c:v>
                </c:pt>
                <c:pt idx="44">
                  <c:v>1.0312372120879678</c:v>
                </c:pt>
                <c:pt idx="45">
                  <c:v>1.0222908267806932</c:v>
                </c:pt>
                <c:pt idx="46">
                  <c:v>1.1785004285764387</c:v>
                </c:pt>
                <c:pt idx="47">
                  <c:v>1.1878508207059704</c:v>
                </c:pt>
              </c:numCache>
            </c:numRef>
          </c:yVal>
          <c:smooth val="0"/>
        </c:ser>
        <c:ser>
          <c:idx val="3"/>
          <c:order val="3"/>
          <c:tx>
            <c:v>Forecast</c:v>
          </c:tx>
          <c:spPr>
            <a:ln w="3175">
              <a:solidFill>
                <a:srgbClr val="FF00FF"/>
              </a:solidFill>
              <a:prstDash val="solid"/>
            </a:ln>
          </c:spPr>
          <c:marker>
            <c:symbol val="square"/>
            <c:size val="10"/>
            <c:spPr>
              <a:solidFill>
                <a:srgbClr val="FF00FF"/>
              </a:solidFill>
              <a:ln>
                <a:solidFill>
                  <a:srgbClr val="000000"/>
                </a:solidFill>
                <a:prstDash val="solid"/>
              </a:ln>
            </c:spPr>
          </c:marker>
          <c:xVal>
            <c:numRef>
              <c:f>ln13rpsxBYE!$Z$13:$Z$62</c:f>
              <c:numCache>
                <c:formatCode>#,##0_);\(#,##0\)</c:formatCode>
                <c:ptCount val="50"/>
                <c:pt idx="0">
                  <c:v>416093.18072477408</c:v>
                </c:pt>
                <c:pt idx="1">
                  <c:v>271007.35305366298</c:v>
                </c:pt>
                <c:pt idx="2">
                  <c:v>233990.19926972012</c:v>
                </c:pt>
                <c:pt idx="3">
                  <c:v>373563.22002911044</c:v>
                </c:pt>
                <c:pt idx="4">
                  <c:v>374673.10456808144</c:v>
                </c:pt>
                <c:pt idx="5">
                  <c:v>152518.20574374442</c:v>
                </c:pt>
                <c:pt idx="6">
                  <c:v>234701.76831870052</c:v>
                </c:pt>
                <c:pt idx="7">
                  <c:v>527822.37255732983</c:v>
                </c:pt>
                <c:pt idx="8">
                  <c:v>329729.48946597357</c:v>
                </c:pt>
                <c:pt idx="9">
                  <c:v>585402.09872581216</c:v>
                </c:pt>
                <c:pt idx="10">
                  <c:v>408348.74565424217</c:v>
                </c:pt>
                <c:pt idx="11">
                  <c:v>432244.89386258059</c:v>
                </c:pt>
                <c:pt idx="12">
                  <c:v>209834.48285271373</c:v>
                </c:pt>
                <c:pt idx="13">
                  <c:v>172586.43317981472</c:v>
                </c:pt>
                <c:pt idx="14">
                  <c:v>248496.46908689401</c:v>
                </c:pt>
                <c:pt idx="15">
                  <c:v>357096.4249518197</c:v>
                </c:pt>
                <c:pt idx="16">
                  <c:v>234393.70547443983</c:v>
                </c:pt>
                <c:pt idx="17">
                  <c:v>507703.14743589744</c:v>
                </c:pt>
                <c:pt idx="18">
                  <c:v>609245.6797237664</c:v>
                </c:pt>
                <c:pt idx="19">
                  <c:v>779344.03185492684</c:v>
                </c:pt>
                <c:pt idx="20">
                  <c:v>609259.17976030742</c:v>
                </c:pt>
                <c:pt idx="21">
                  <c:v>689904.86811018642</c:v>
                </c:pt>
                <c:pt idx="22">
                  <c:v>837471.73615241167</c:v>
                </c:pt>
                <c:pt idx="23">
                  <c:v>644071.2163551402</c:v>
                </c:pt>
                <c:pt idx="24">
                  <c:v>512181.00557456672</c:v>
                </c:pt>
                <c:pt idx="25">
                  <c:v>505998.99389258347</c:v>
                </c:pt>
                <c:pt idx="26">
                  <c:v>495779.97595582763</c:v>
                </c:pt>
                <c:pt idx="27">
                  <c:v>581067.37842492911</c:v>
                </c:pt>
                <c:pt idx="28">
                  <c:v>619668.01983819774</c:v>
                </c:pt>
                <c:pt idx="29">
                  <c:v>567389.92208594619</c:v>
                </c:pt>
                <c:pt idx="30">
                  <c:v>558331.04056437232</c:v>
                </c:pt>
                <c:pt idx="31">
                  <c:v>652721.10807092034</c:v>
                </c:pt>
                <c:pt idx="32">
                  <c:v>614989.28339619539</c:v>
                </c:pt>
                <c:pt idx="33">
                  <c:v>528715.42146727804</c:v>
                </c:pt>
                <c:pt idx="34">
                  <c:v>674836.32951188635</c:v>
                </c:pt>
                <c:pt idx="35">
                  <c:v>900332.70692073856</c:v>
                </c:pt>
                <c:pt idx="36">
                  <c:v>635380.79722662957</c:v>
                </c:pt>
                <c:pt idx="37">
                  <c:v>648887</c:v>
                </c:pt>
                <c:pt idx="38">
                  <c:v>537592</c:v>
                </c:pt>
                <c:pt idx="39">
                  <c:v>680513</c:v>
                </c:pt>
                <c:pt idx="40">
                  <c:v>732389</c:v>
                </c:pt>
                <c:pt idx="41">
                  <c:v>653564</c:v>
                </c:pt>
                <c:pt idx="42">
                  <c:v>586352</c:v>
                </c:pt>
                <c:pt idx="43">
                  <c:v>631646.30056050722</c:v>
                </c:pt>
                <c:pt idx="44">
                  <c:v>777081</c:v>
                </c:pt>
                <c:pt idx="45">
                  <c:v>786913</c:v>
                </c:pt>
                <c:pt idx="46">
                  <c:v>615240</c:v>
                </c:pt>
                <c:pt idx="47">
                  <c:v>604964</c:v>
                </c:pt>
                <c:pt idx="49">
                  <c:v>668242</c:v>
                </c:pt>
              </c:numCache>
            </c:numRef>
          </c:xVal>
          <c:yVal>
            <c:numRef>
              <c:f>ln13rpsxBYE!$AF$13:$AF$62</c:f>
              <c:numCache>
                <c:formatCode>General</c:formatCode>
                <c:ptCount val="50"/>
                <c:pt idx="49">
                  <c:v>0.57862598711374824</c:v>
                </c:pt>
              </c:numCache>
            </c:numRef>
          </c:yVal>
          <c:smooth val="0"/>
        </c:ser>
        <c:dLbls>
          <c:showLegendKey val="0"/>
          <c:showVal val="0"/>
          <c:showCatName val="0"/>
          <c:showSerName val="0"/>
          <c:showPercent val="0"/>
          <c:showBubbleSize val="0"/>
        </c:dLbls>
        <c:axId val="366402176"/>
        <c:axId val="366408832"/>
      </c:scatterChart>
      <c:valAx>
        <c:axId val="366402176"/>
        <c:scaling>
          <c:orientation val="minMax"/>
          <c:min val="100000"/>
        </c:scaling>
        <c:delete val="0"/>
        <c:axPos val="b"/>
        <c:title>
          <c:tx>
            <c:rich>
              <a:bodyPr/>
              <a:lstStyle/>
              <a:p>
                <a:pPr>
                  <a:defRPr sz="1000" b="0" i="0" u="none" strike="noStrike" baseline="0">
                    <a:solidFill>
                      <a:srgbClr val="000000"/>
                    </a:solidFill>
                    <a:latin typeface="Arial"/>
                    <a:ea typeface="Arial"/>
                    <a:cs typeface="Arial"/>
                  </a:defRPr>
                </a:pPr>
                <a:r>
                  <a:rPr lang="en-US"/>
                  <a:t>BROOD YEAR ESCAPEMENT</a:t>
                </a:r>
              </a:p>
            </c:rich>
          </c:tx>
          <c:layout>
            <c:manualLayout>
              <c:xMode val="edge"/>
              <c:yMode val="edge"/>
              <c:x val="0.40203483151131869"/>
              <c:y val="0.85631075298467063"/>
            </c:manualLayout>
          </c:layout>
          <c:overlay val="0"/>
          <c:spPr>
            <a:noFill/>
            <a:ln w="25400">
              <a:noFill/>
            </a:ln>
          </c:spPr>
        </c:title>
        <c:numFmt formatCode="#,##0_);\(#,##0\)"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366408832"/>
        <c:crosses val="autoZero"/>
        <c:crossBetween val="midCat"/>
      </c:valAx>
      <c:valAx>
        <c:axId val="366408832"/>
        <c:scaling>
          <c:orientation val="minMax"/>
        </c:scaling>
        <c:delete val="0"/>
        <c:axPos val="l"/>
        <c:title>
          <c:tx>
            <c:rich>
              <a:bodyPr/>
              <a:lstStyle/>
              <a:p>
                <a:pPr>
                  <a:defRPr sz="1000" b="0" i="0" u="none" strike="noStrike" baseline="0">
                    <a:solidFill>
                      <a:srgbClr val="000000"/>
                    </a:solidFill>
                    <a:latin typeface="Arial"/>
                    <a:ea typeface="Arial"/>
                    <a:cs typeface="Arial"/>
                  </a:defRPr>
                </a:pPr>
                <a:r>
                  <a:rPr lang="en-US"/>
                  <a:t>LN R/S AGED 1.3</a:t>
                </a:r>
              </a:p>
            </c:rich>
          </c:tx>
          <c:layout>
            <c:manualLayout>
              <c:xMode val="edge"/>
              <c:yMode val="edge"/>
              <c:x val="3.9805420623611011E-2"/>
              <c:y val="0.37475719231594351"/>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366402176"/>
        <c:crosses val="autoZero"/>
        <c:crossBetween val="midCat"/>
      </c:valAx>
      <c:spPr>
        <a:solidFill>
          <a:srgbClr val="FFFFFF"/>
        </a:solidFill>
        <a:ln w="12700">
          <a:noFill/>
          <a:prstDash val="solid"/>
        </a:ln>
      </c:spPr>
    </c:plotArea>
    <c:legend>
      <c:legendPos val="r"/>
      <c:legendEntry>
        <c:idx val="1"/>
        <c:delete val="1"/>
      </c:legendEntry>
      <c:legendEntry>
        <c:idx val="2"/>
        <c:delete val="1"/>
      </c:legendEntry>
      <c:layout>
        <c:manualLayout>
          <c:xMode val="edge"/>
          <c:yMode val="edge"/>
          <c:x val="0.74392086318419637"/>
          <c:y val="0.24904480325173417"/>
          <c:w val="0.14462642632022049"/>
          <c:h val="0.12044874740851999"/>
        </c:manualLayout>
      </c:layout>
      <c:overlay val="0"/>
      <c:spPr>
        <a:solidFill>
          <a:srgbClr val="FFFFFF"/>
        </a:solidFill>
        <a:ln w="25400">
          <a:noFill/>
        </a:ln>
      </c:spPr>
      <c:txPr>
        <a:bodyPr/>
        <a:lstStyle/>
        <a:p>
          <a:pPr>
            <a:defRPr sz="105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orientation="landscape" horizontalDpi="300" verticalDpi="300"/>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0" i="0" u="none" strike="noStrike" baseline="0">
                <a:solidFill>
                  <a:srgbClr val="000000"/>
                </a:solidFill>
                <a:latin typeface="SWISS"/>
                <a:ea typeface="SWISS"/>
                <a:cs typeface="SWISS"/>
              </a:defRPr>
            </a:pPr>
            <a:r>
              <a:rPr lang="en-US"/>
              <a:t>Forecast Model vs Actual</a:t>
            </a:r>
          </a:p>
        </c:rich>
      </c:tx>
      <c:layout>
        <c:manualLayout>
          <c:xMode val="edge"/>
          <c:yMode val="edge"/>
          <c:x val="0.29810090065272482"/>
          <c:y val="2.8554555680539932E-2"/>
        </c:manualLayout>
      </c:layout>
      <c:overlay val="0"/>
      <c:spPr>
        <a:solidFill>
          <a:srgbClr val="FFFFFF"/>
        </a:solidFill>
        <a:ln w="12700">
          <a:solidFill>
            <a:srgbClr val="000000"/>
          </a:solidFill>
          <a:prstDash val="solid"/>
        </a:ln>
        <a:effectLst>
          <a:outerShdw dist="35921" dir="2700000" algn="br">
            <a:srgbClr val="000000"/>
          </a:outerShdw>
        </a:effectLst>
      </c:spPr>
    </c:title>
    <c:autoTitleDeleted val="0"/>
    <c:plotArea>
      <c:layout>
        <c:manualLayout>
          <c:layoutTarget val="inner"/>
          <c:xMode val="edge"/>
          <c:yMode val="edge"/>
          <c:x val="0.16074068577365019"/>
          <c:y val="0.15526508417860688"/>
          <c:w val="0.794935755098784"/>
          <c:h val="0.6728153647739552"/>
        </c:manualLayout>
      </c:layout>
      <c:scatterChart>
        <c:scatterStyle val="lineMarker"/>
        <c:varyColors val="0"/>
        <c:ser>
          <c:idx val="0"/>
          <c:order val="0"/>
          <c:tx>
            <c:v>Ln13 x Ln12</c:v>
          </c:tx>
          <c:spPr>
            <a:ln w="3175">
              <a:solidFill>
                <a:srgbClr val="00FF00"/>
              </a:solidFill>
              <a:prstDash val="solid"/>
            </a:ln>
          </c:spPr>
          <c:marker>
            <c:symbol val="diamond"/>
            <c:size val="5"/>
            <c:spPr>
              <a:solidFill>
                <a:srgbClr val="00FF00"/>
              </a:solidFill>
              <a:ln>
                <a:solidFill>
                  <a:srgbClr val="000000"/>
                </a:solidFill>
                <a:prstDash val="solid"/>
              </a:ln>
            </c:spPr>
          </c:marker>
          <c:xVal>
            <c:numRef>
              <c:f>ln13rpsxBYE!$A$13:$A$60</c:f>
              <c:numCache>
                <c:formatCode>General</c:formatCode>
                <c:ptCount val="48"/>
                <c:pt idx="0">
                  <c:v>1962</c:v>
                </c:pt>
                <c:pt idx="1">
                  <c:v>1963</c:v>
                </c:pt>
                <c:pt idx="2">
                  <c:v>1964</c:v>
                </c:pt>
                <c:pt idx="3">
                  <c:v>1965</c:v>
                </c:pt>
                <c:pt idx="4">
                  <c:v>1966</c:v>
                </c:pt>
                <c:pt idx="5">
                  <c:v>1967</c:v>
                </c:pt>
                <c:pt idx="6">
                  <c:v>1968</c:v>
                </c:pt>
                <c:pt idx="7">
                  <c:v>1969</c:v>
                </c:pt>
                <c:pt idx="8">
                  <c:v>1970</c:v>
                </c:pt>
                <c:pt idx="9">
                  <c:v>1971</c:v>
                </c:pt>
                <c:pt idx="10">
                  <c:v>1972</c:v>
                </c:pt>
                <c:pt idx="11">
                  <c:v>1973</c:v>
                </c:pt>
                <c:pt idx="12">
                  <c:v>1974</c:v>
                </c:pt>
                <c:pt idx="13">
                  <c:v>1975</c:v>
                </c:pt>
                <c:pt idx="14">
                  <c:v>1976</c:v>
                </c:pt>
                <c:pt idx="15">
                  <c:v>1977</c:v>
                </c:pt>
                <c:pt idx="16">
                  <c:v>1978</c:v>
                </c:pt>
                <c:pt idx="17">
                  <c:v>1979</c:v>
                </c:pt>
                <c:pt idx="18">
                  <c:v>1980</c:v>
                </c:pt>
                <c:pt idx="19">
                  <c:v>1981</c:v>
                </c:pt>
                <c:pt idx="20">
                  <c:v>1982</c:v>
                </c:pt>
                <c:pt idx="21">
                  <c:v>1983</c:v>
                </c:pt>
                <c:pt idx="22">
                  <c:v>1984</c:v>
                </c:pt>
                <c:pt idx="23">
                  <c:v>1985</c:v>
                </c:pt>
                <c:pt idx="24">
                  <c:v>1986</c:v>
                </c:pt>
                <c:pt idx="25">
                  <c:v>1987</c:v>
                </c:pt>
                <c:pt idx="26">
                  <c:v>1988</c:v>
                </c:pt>
                <c:pt idx="27">
                  <c:v>1989</c:v>
                </c:pt>
                <c:pt idx="28">
                  <c:v>1990</c:v>
                </c:pt>
                <c:pt idx="29">
                  <c:v>1991</c:v>
                </c:pt>
                <c:pt idx="30">
                  <c:v>1992</c:v>
                </c:pt>
                <c:pt idx="31">
                  <c:v>1993</c:v>
                </c:pt>
                <c:pt idx="32">
                  <c:v>1994</c:v>
                </c:pt>
                <c:pt idx="33">
                  <c:v>1995</c:v>
                </c:pt>
                <c:pt idx="34">
                  <c:v>1996</c:v>
                </c:pt>
                <c:pt idx="35">
                  <c:v>1997</c:v>
                </c:pt>
                <c:pt idx="36">
                  <c:v>1998</c:v>
                </c:pt>
                <c:pt idx="37">
                  <c:v>1999</c:v>
                </c:pt>
                <c:pt idx="38">
                  <c:v>2000</c:v>
                </c:pt>
                <c:pt idx="39">
                  <c:v>2001</c:v>
                </c:pt>
                <c:pt idx="40">
                  <c:v>2002</c:v>
                </c:pt>
                <c:pt idx="41">
                  <c:v>2003</c:v>
                </c:pt>
                <c:pt idx="42">
                  <c:v>2004</c:v>
                </c:pt>
                <c:pt idx="43">
                  <c:v>2005</c:v>
                </c:pt>
                <c:pt idx="44">
                  <c:v>2006</c:v>
                </c:pt>
                <c:pt idx="45">
                  <c:v>2007</c:v>
                </c:pt>
                <c:pt idx="46">
                  <c:v>2008</c:v>
                </c:pt>
                <c:pt idx="47">
                  <c:v>2009</c:v>
                </c:pt>
              </c:numCache>
            </c:numRef>
          </c:xVal>
          <c:yVal>
            <c:numRef>
              <c:f>ln13rpsxBYE!$U$13:$U$60</c:f>
              <c:numCache>
                <c:formatCode>#,##0_);\(#,##0\)</c:formatCode>
                <c:ptCount val="48"/>
                <c:pt idx="0">
                  <c:v>947665.39162407874</c:v>
                </c:pt>
                <c:pt idx="1">
                  <c:v>709799.21277304029</c:v>
                </c:pt>
                <c:pt idx="2">
                  <c:v>604746.21878456359</c:v>
                </c:pt>
                <c:pt idx="3">
                  <c:v>862915.4723805039</c:v>
                </c:pt>
                <c:pt idx="4">
                  <c:v>872386.62689910177</c:v>
                </c:pt>
                <c:pt idx="5">
                  <c:v>409806.50277231151</c:v>
                </c:pt>
                <c:pt idx="6">
                  <c:v>623380.17507273075</c:v>
                </c:pt>
                <c:pt idx="7">
                  <c:v>1081535.5398656507</c:v>
                </c:pt>
                <c:pt idx="8">
                  <c:v>832711.03511569928</c:v>
                </c:pt>
                <c:pt idx="9">
                  <c:v>1130604.2665211977</c:v>
                </c:pt>
                <c:pt idx="10">
                  <c:v>925083.99285559228</c:v>
                </c:pt>
                <c:pt idx="11">
                  <c:v>986539.04867374944</c:v>
                </c:pt>
                <c:pt idx="12">
                  <c:v>581094.41755864443</c:v>
                </c:pt>
                <c:pt idx="13">
                  <c:v>492015.73714589077</c:v>
                </c:pt>
                <c:pt idx="14">
                  <c:v>633852.81802616781</c:v>
                </c:pt>
                <c:pt idx="15">
                  <c:v>829370.22080658632</c:v>
                </c:pt>
                <c:pt idx="16">
                  <c:v>606789.9045082432</c:v>
                </c:pt>
                <c:pt idx="17">
                  <c:v>1041054.0763391467</c:v>
                </c:pt>
                <c:pt idx="18">
                  <c:v>1149317.6710198426</c:v>
                </c:pt>
                <c:pt idx="19">
                  <c:v>1300946.3623824201</c:v>
                </c:pt>
                <c:pt idx="20">
                  <c:v>1141557.5455748627</c:v>
                </c:pt>
                <c:pt idx="21">
                  <c:v>1244839.56352412</c:v>
                </c:pt>
                <c:pt idx="22">
                  <c:v>1307134.1289009398</c:v>
                </c:pt>
                <c:pt idx="23">
                  <c:v>1195897.0632572859</c:v>
                </c:pt>
                <c:pt idx="24">
                  <c:v>1048288.5504423416</c:v>
                </c:pt>
                <c:pt idx="25">
                  <c:v>1045441.5605655379</c:v>
                </c:pt>
                <c:pt idx="26">
                  <c:v>1028823.1373234453</c:v>
                </c:pt>
                <c:pt idx="27">
                  <c:v>1117487.1572402571</c:v>
                </c:pt>
                <c:pt idx="28">
                  <c:v>1157831.0743434981</c:v>
                </c:pt>
                <c:pt idx="29">
                  <c:v>1094904.26553458</c:v>
                </c:pt>
                <c:pt idx="30">
                  <c:v>1081812.9289809742</c:v>
                </c:pt>
                <c:pt idx="31">
                  <c:v>1182946.194710949</c:v>
                </c:pt>
                <c:pt idx="32">
                  <c:v>1149681.16949301</c:v>
                </c:pt>
                <c:pt idx="33">
                  <c:v>1073883.9520844517</c:v>
                </c:pt>
                <c:pt idx="34">
                  <c:v>1182312.0332434946</c:v>
                </c:pt>
                <c:pt idx="35">
                  <c:v>1306164.6209101065</c:v>
                </c:pt>
                <c:pt idx="36">
                  <c:v>1162039.8980625791</c:v>
                </c:pt>
                <c:pt idx="37">
                  <c:v>1184021.5830420093</c:v>
                </c:pt>
                <c:pt idx="38">
                  <c:v>1073361.443885864</c:v>
                </c:pt>
                <c:pt idx="39">
                  <c:v>1191318.1024006696</c:v>
                </c:pt>
                <c:pt idx="40">
                  <c:v>1195392.811714482</c:v>
                </c:pt>
                <c:pt idx="41">
                  <c:v>1196211.6011020602</c:v>
                </c:pt>
                <c:pt idx="42">
                  <c:v>1131508.258530814</c:v>
                </c:pt>
                <c:pt idx="43">
                  <c:v>1180236.9944066943</c:v>
                </c:pt>
                <c:pt idx="44">
                  <c:v>1225577.2591955436</c:v>
                </c:pt>
                <c:pt idx="45">
                  <c:v>1218337.2500967963</c:v>
                </c:pt>
                <c:pt idx="46">
                  <c:v>1144028.3843221369</c:v>
                </c:pt>
                <c:pt idx="47">
                  <c:v>1128799.1505554025</c:v>
                </c:pt>
              </c:numCache>
            </c:numRef>
          </c:yVal>
          <c:smooth val="0"/>
        </c:ser>
        <c:ser>
          <c:idx val="1"/>
          <c:order val="1"/>
          <c:tx>
            <c:v>Ln13 x Ln03</c:v>
          </c:tx>
          <c:spPr>
            <a:ln w="3175">
              <a:solidFill>
                <a:srgbClr val="0000FF"/>
              </a:solidFill>
              <a:prstDash val="solid"/>
            </a:ln>
          </c:spPr>
          <c:marker>
            <c:symbol val="triangle"/>
            <c:size val="5"/>
            <c:spPr>
              <a:solidFill>
                <a:srgbClr val="0000FF"/>
              </a:solidFill>
              <a:ln>
                <a:solidFill>
                  <a:srgbClr val="000000"/>
                </a:solidFill>
                <a:prstDash val="solid"/>
              </a:ln>
            </c:spPr>
          </c:marker>
          <c:xVal>
            <c:numRef>
              <c:f>ln13rpsxBYE!$A$13:$A$60</c:f>
              <c:numCache>
                <c:formatCode>General</c:formatCode>
                <c:ptCount val="48"/>
                <c:pt idx="0">
                  <c:v>1962</c:v>
                </c:pt>
                <c:pt idx="1">
                  <c:v>1963</c:v>
                </c:pt>
                <c:pt idx="2">
                  <c:v>1964</c:v>
                </c:pt>
                <c:pt idx="3">
                  <c:v>1965</c:v>
                </c:pt>
                <c:pt idx="4">
                  <c:v>1966</c:v>
                </c:pt>
                <c:pt idx="5">
                  <c:v>1967</c:v>
                </c:pt>
                <c:pt idx="6">
                  <c:v>1968</c:v>
                </c:pt>
                <c:pt idx="7">
                  <c:v>1969</c:v>
                </c:pt>
                <c:pt idx="8">
                  <c:v>1970</c:v>
                </c:pt>
                <c:pt idx="9">
                  <c:v>1971</c:v>
                </c:pt>
                <c:pt idx="10">
                  <c:v>1972</c:v>
                </c:pt>
                <c:pt idx="11">
                  <c:v>1973</c:v>
                </c:pt>
                <c:pt idx="12">
                  <c:v>1974</c:v>
                </c:pt>
                <c:pt idx="13">
                  <c:v>1975</c:v>
                </c:pt>
                <c:pt idx="14">
                  <c:v>1976</c:v>
                </c:pt>
                <c:pt idx="15">
                  <c:v>1977</c:v>
                </c:pt>
                <c:pt idx="16">
                  <c:v>1978</c:v>
                </c:pt>
                <c:pt idx="17">
                  <c:v>1979</c:v>
                </c:pt>
                <c:pt idx="18">
                  <c:v>1980</c:v>
                </c:pt>
                <c:pt idx="19">
                  <c:v>1981</c:v>
                </c:pt>
                <c:pt idx="20">
                  <c:v>1982</c:v>
                </c:pt>
                <c:pt idx="21">
                  <c:v>1983</c:v>
                </c:pt>
                <c:pt idx="22">
                  <c:v>1984</c:v>
                </c:pt>
                <c:pt idx="23">
                  <c:v>1985</c:v>
                </c:pt>
                <c:pt idx="24">
                  <c:v>1986</c:v>
                </c:pt>
                <c:pt idx="25">
                  <c:v>1987</c:v>
                </c:pt>
                <c:pt idx="26">
                  <c:v>1988</c:v>
                </c:pt>
                <c:pt idx="27">
                  <c:v>1989</c:v>
                </c:pt>
                <c:pt idx="28">
                  <c:v>1990</c:v>
                </c:pt>
                <c:pt idx="29">
                  <c:v>1991</c:v>
                </c:pt>
                <c:pt idx="30">
                  <c:v>1992</c:v>
                </c:pt>
                <c:pt idx="31">
                  <c:v>1993</c:v>
                </c:pt>
                <c:pt idx="32">
                  <c:v>1994</c:v>
                </c:pt>
                <c:pt idx="33">
                  <c:v>1995</c:v>
                </c:pt>
                <c:pt idx="34">
                  <c:v>1996</c:v>
                </c:pt>
                <c:pt idx="35">
                  <c:v>1997</c:v>
                </c:pt>
                <c:pt idx="36">
                  <c:v>1998</c:v>
                </c:pt>
                <c:pt idx="37">
                  <c:v>1999</c:v>
                </c:pt>
                <c:pt idx="38">
                  <c:v>2000</c:v>
                </c:pt>
                <c:pt idx="39">
                  <c:v>2001</c:v>
                </c:pt>
                <c:pt idx="40">
                  <c:v>2002</c:v>
                </c:pt>
                <c:pt idx="41">
                  <c:v>2003</c:v>
                </c:pt>
                <c:pt idx="42">
                  <c:v>2004</c:v>
                </c:pt>
                <c:pt idx="43">
                  <c:v>2005</c:v>
                </c:pt>
                <c:pt idx="44">
                  <c:v>2006</c:v>
                </c:pt>
                <c:pt idx="45">
                  <c:v>2007</c:v>
                </c:pt>
                <c:pt idx="46">
                  <c:v>2008</c:v>
                </c:pt>
                <c:pt idx="47">
                  <c:v>2009</c:v>
                </c:pt>
              </c:numCache>
            </c:numRef>
          </c:xVal>
          <c:yVal>
            <c:numRef>
              <c:f>ln13rpsxBYE!$U$13:$U$60</c:f>
              <c:numCache>
                <c:formatCode>#,##0_);\(#,##0\)</c:formatCode>
                <c:ptCount val="48"/>
                <c:pt idx="0">
                  <c:v>947665.39162407874</c:v>
                </c:pt>
                <c:pt idx="1">
                  <c:v>709799.21277304029</c:v>
                </c:pt>
                <c:pt idx="2">
                  <c:v>604746.21878456359</c:v>
                </c:pt>
                <c:pt idx="3">
                  <c:v>862915.4723805039</c:v>
                </c:pt>
                <c:pt idx="4">
                  <c:v>872386.62689910177</c:v>
                </c:pt>
                <c:pt idx="5">
                  <c:v>409806.50277231151</c:v>
                </c:pt>
                <c:pt idx="6">
                  <c:v>623380.17507273075</c:v>
                </c:pt>
                <c:pt idx="7">
                  <c:v>1081535.5398656507</c:v>
                </c:pt>
                <c:pt idx="8">
                  <c:v>832711.03511569928</c:v>
                </c:pt>
                <c:pt idx="9">
                  <c:v>1130604.2665211977</c:v>
                </c:pt>
                <c:pt idx="10">
                  <c:v>925083.99285559228</c:v>
                </c:pt>
                <c:pt idx="11">
                  <c:v>986539.04867374944</c:v>
                </c:pt>
                <c:pt idx="12">
                  <c:v>581094.41755864443</c:v>
                </c:pt>
                <c:pt idx="13">
                  <c:v>492015.73714589077</c:v>
                </c:pt>
                <c:pt idx="14">
                  <c:v>633852.81802616781</c:v>
                </c:pt>
                <c:pt idx="15">
                  <c:v>829370.22080658632</c:v>
                </c:pt>
                <c:pt idx="16">
                  <c:v>606789.9045082432</c:v>
                </c:pt>
                <c:pt idx="17">
                  <c:v>1041054.0763391467</c:v>
                </c:pt>
                <c:pt idx="18">
                  <c:v>1149317.6710198426</c:v>
                </c:pt>
                <c:pt idx="19">
                  <c:v>1300946.3623824201</c:v>
                </c:pt>
                <c:pt idx="20">
                  <c:v>1141557.5455748627</c:v>
                </c:pt>
                <c:pt idx="21">
                  <c:v>1244839.56352412</c:v>
                </c:pt>
                <c:pt idx="22">
                  <c:v>1307134.1289009398</c:v>
                </c:pt>
                <c:pt idx="23">
                  <c:v>1195897.0632572859</c:v>
                </c:pt>
                <c:pt idx="24">
                  <c:v>1048288.5504423416</c:v>
                </c:pt>
                <c:pt idx="25">
                  <c:v>1045441.5605655379</c:v>
                </c:pt>
                <c:pt idx="26">
                  <c:v>1028823.1373234453</c:v>
                </c:pt>
                <c:pt idx="27">
                  <c:v>1117487.1572402571</c:v>
                </c:pt>
                <c:pt idx="28">
                  <c:v>1157831.0743434981</c:v>
                </c:pt>
                <c:pt idx="29">
                  <c:v>1094904.26553458</c:v>
                </c:pt>
                <c:pt idx="30">
                  <c:v>1081812.9289809742</c:v>
                </c:pt>
                <c:pt idx="31">
                  <c:v>1182946.194710949</c:v>
                </c:pt>
                <c:pt idx="32">
                  <c:v>1149681.16949301</c:v>
                </c:pt>
                <c:pt idx="33">
                  <c:v>1073883.9520844517</c:v>
                </c:pt>
                <c:pt idx="34">
                  <c:v>1182312.0332434946</c:v>
                </c:pt>
                <c:pt idx="35">
                  <c:v>1306164.6209101065</c:v>
                </c:pt>
                <c:pt idx="36">
                  <c:v>1162039.8980625791</c:v>
                </c:pt>
                <c:pt idx="37">
                  <c:v>1184021.5830420093</c:v>
                </c:pt>
                <c:pt idx="38">
                  <c:v>1073361.443885864</c:v>
                </c:pt>
                <c:pt idx="39">
                  <c:v>1191318.1024006696</c:v>
                </c:pt>
                <c:pt idx="40">
                  <c:v>1195392.811714482</c:v>
                </c:pt>
                <c:pt idx="41">
                  <c:v>1196211.6011020602</c:v>
                </c:pt>
                <c:pt idx="42">
                  <c:v>1131508.258530814</c:v>
                </c:pt>
                <c:pt idx="43">
                  <c:v>1180236.9944066943</c:v>
                </c:pt>
                <c:pt idx="44">
                  <c:v>1225577.2591955436</c:v>
                </c:pt>
                <c:pt idx="45">
                  <c:v>1218337.2500967963</c:v>
                </c:pt>
                <c:pt idx="46">
                  <c:v>1144028.3843221369</c:v>
                </c:pt>
                <c:pt idx="47">
                  <c:v>1128799.1505554025</c:v>
                </c:pt>
              </c:numCache>
            </c:numRef>
          </c:yVal>
          <c:smooth val="0"/>
        </c:ser>
        <c:ser>
          <c:idx val="2"/>
          <c:order val="2"/>
          <c:tx>
            <c:v>Actual</c:v>
          </c:tx>
          <c:spPr>
            <a:ln w="3175">
              <a:solidFill>
                <a:srgbClr val="FFFF00"/>
              </a:solidFill>
              <a:prstDash val="solid"/>
            </a:ln>
          </c:spPr>
          <c:marker>
            <c:symbol val="square"/>
            <c:size val="5"/>
            <c:spPr>
              <a:noFill/>
              <a:ln>
                <a:solidFill>
                  <a:srgbClr val="FFFF00"/>
                </a:solidFill>
                <a:prstDash val="solid"/>
              </a:ln>
            </c:spPr>
          </c:marker>
          <c:xVal>
            <c:numRef>
              <c:f>ln13rpsxBYE!$A$13:$A$60</c:f>
              <c:numCache>
                <c:formatCode>General</c:formatCode>
                <c:ptCount val="48"/>
                <c:pt idx="0">
                  <c:v>1962</c:v>
                </c:pt>
                <c:pt idx="1">
                  <c:v>1963</c:v>
                </c:pt>
                <c:pt idx="2">
                  <c:v>1964</c:v>
                </c:pt>
                <c:pt idx="3">
                  <c:v>1965</c:v>
                </c:pt>
                <c:pt idx="4">
                  <c:v>1966</c:v>
                </c:pt>
                <c:pt idx="5">
                  <c:v>1967</c:v>
                </c:pt>
                <c:pt idx="6">
                  <c:v>1968</c:v>
                </c:pt>
                <c:pt idx="7">
                  <c:v>1969</c:v>
                </c:pt>
                <c:pt idx="8">
                  <c:v>1970</c:v>
                </c:pt>
                <c:pt idx="9">
                  <c:v>1971</c:v>
                </c:pt>
                <c:pt idx="10">
                  <c:v>1972</c:v>
                </c:pt>
                <c:pt idx="11">
                  <c:v>1973</c:v>
                </c:pt>
                <c:pt idx="12">
                  <c:v>1974</c:v>
                </c:pt>
                <c:pt idx="13">
                  <c:v>1975</c:v>
                </c:pt>
                <c:pt idx="14">
                  <c:v>1976</c:v>
                </c:pt>
                <c:pt idx="15">
                  <c:v>1977</c:v>
                </c:pt>
                <c:pt idx="16">
                  <c:v>1978</c:v>
                </c:pt>
                <c:pt idx="17">
                  <c:v>1979</c:v>
                </c:pt>
                <c:pt idx="18">
                  <c:v>1980</c:v>
                </c:pt>
                <c:pt idx="19">
                  <c:v>1981</c:v>
                </c:pt>
                <c:pt idx="20">
                  <c:v>1982</c:v>
                </c:pt>
                <c:pt idx="21">
                  <c:v>1983</c:v>
                </c:pt>
                <c:pt idx="22">
                  <c:v>1984</c:v>
                </c:pt>
                <c:pt idx="23">
                  <c:v>1985</c:v>
                </c:pt>
                <c:pt idx="24">
                  <c:v>1986</c:v>
                </c:pt>
                <c:pt idx="25">
                  <c:v>1987</c:v>
                </c:pt>
                <c:pt idx="26">
                  <c:v>1988</c:v>
                </c:pt>
                <c:pt idx="27">
                  <c:v>1989</c:v>
                </c:pt>
                <c:pt idx="28">
                  <c:v>1990</c:v>
                </c:pt>
                <c:pt idx="29">
                  <c:v>1991</c:v>
                </c:pt>
                <c:pt idx="30">
                  <c:v>1992</c:v>
                </c:pt>
                <c:pt idx="31">
                  <c:v>1993</c:v>
                </c:pt>
                <c:pt idx="32">
                  <c:v>1994</c:v>
                </c:pt>
                <c:pt idx="33">
                  <c:v>1995</c:v>
                </c:pt>
                <c:pt idx="34">
                  <c:v>1996</c:v>
                </c:pt>
                <c:pt idx="35">
                  <c:v>1997</c:v>
                </c:pt>
                <c:pt idx="36">
                  <c:v>1998</c:v>
                </c:pt>
                <c:pt idx="37">
                  <c:v>1999</c:v>
                </c:pt>
                <c:pt idx="38">
                  <c:v>2000</c:v>
                </c:pt>
                <c:pt idx="39">
                  <c:v>2001</c:v>
                </c:pt>
                <c:pt idx="40">
                  <c:v>2002</c:v>
                </c:pt>
                <c:pt idx="41">
                  <c:v>2003</c:v>
                </c:pt>
                <c:pt idx="42">
                  <c:v>2004</c:v>
                </c:pt>
                <c:pt idx="43">
                  <c:v>2005</c:v>
                </c:pt>
                <c:pt idx="44">
                  <c:v>2006</c:v>
                </c:pt>
                <c:pt idx="45">
                  <c:v>2007</c:v>
                </c:pt>
                <c:pt idx="46">
                  <c:v>2008</c:v>
                </c:pt>
                <c:pt idx="47">
                  <c:v>2009</c:v>
                </c:pt>
              </c:numCache>
            </c:numRef>
          </c:xVal>
          <c:yVal>
            <c:numRef>
              <c:f>ln13rpsxBYE!$V$14:$V$61</c:f>
              <c:numCache>
                <c:formatCode>#,##0_);\(#,##0\)</c:formatCode>
                <c:ptCount val="48"/>
                <c:pt idx="0">
                  <c:v>408844.77022973727</c:v>
                </c:pt>
                <c:pt idx="1">
                  <c:v>348334.18298723182</c:v>
                </c:pt>
                <c:pt idx="2">
                  <c:v>497039.82715728978</c:v>
                </c:pt>
                <c:pt idx="3">
                  <c:v>502495.21781324514</c:v>
                </c:pt>
                <c:pt idx="4">
                  <c:v>236048.79020649393</c:v>
                </c:pt>
                <c:pt idx="5">
                  <c:v>359067.35293164919</c:v>
                </c:pt>
                <c:pt idx="6">
                  <c:v>622965.11652099399</c:v>
                </c:pt>
                <c:pt idx="7">
                  <c:v>479642.05326401815</c:v>
                </c:pt>
                <c:pt idx="8">
                  <c:v>651228.73236324999</c:v>
                </c:pt>
                <c:pt idx="9">
                  <c:v>532848.93205874518</c:v>
                </c:pt>
                <c:pt idx="10">
                  <c:v>568247.08089194784</c:v>
                </c:pt>
                <c:pt idx="11">
                  <c:v>334710.73136356496</c:v>
                </c:pt>
                <c:pt idx="12">
                  <c:v>283401.35827559343</c:v>
                </c:pt>
                <c:pt idx="13">
                  <c:v>365099.60152385087</c:v>
                </c:pt>
                <c:pt idx="14">
                  <c:v>477717.74222786853</c:v>
                </c:pt>
                <c:pt idx="15">
                  <c:v>349511.34718392807</c:v>
                </c:pt>
                <c:pt idx="16">
                  <c:v>599647.76936672325</c:v>
                </c:pt>
                <c:pt idx="17">
                  <c:v>662007.66452432435</c:v>
                </c:pt>
                <c:pt idx="18">
                  <c:v>749345.88125490688</c:v>
                </c:pt>
                <c:pt idx="19">
                  <c:v>657537.82763606997</c:v>
                </c:pt>
                <c:pt idx="20">
                  <c:v>717028.33162290615</c:v>
                </c:pt>
                <c:pt idx="21">
                  <c:v>752910.03846299381</c:v>
                </c:pt>
                <c:pt idx="22">
                  <c:v>688837.42225589219</c:v>
                </c:pt>
                <c:pt idx="23">
                  <c:v>603814.83076835296</c:v>
                </c:pt>
                <c:pt idx="24">
                  <c:v>602174.96289997257</c:v>
                </c:pt>
                <c:pt idx="25">
                  <c:v>592602.74119314691</c:v>
                </c:pt>
                <c:pt idx="26">
                  <c:v>643673.26958794915</c:v>
                </c:pt>
                <c:pt idx="27">
                  <c:v>666911.38992032001</c:v>
                </c:pt>
                <c:pt idx="28">
                  <c:v>630665.51048596366</c:v>
                </c:pt>
                <c:pt idx="29">
                  <c:v>623124.8928169912</c:v>
                </c:pt>
                <c:pt idx="30">
                  <c:v>681377.71424295066</c:v>
                </c:pt>
                <c:pt idx="31">
                  <c:v>662217.03986183752</c:v>
                </c:pt>
                <c:pt idx="32">
                  <c:v>618557.79739186261</c:v>
                </c:pt>
                <c:pt idx="33">
                  <c:v>681012.43685917195</c:v>
                </c:pt>
                <c:pt idx="34">
                  <c:v>752351.60128158366</c:v>
                </c:pt>
                <c:pt idx="35">
                  <c:v>669335.67489471799</c:v>
                </c:pt>
                <c:pt idx="36">
                  <c:v>681997.13856353064</c:v>
                </c:pt>
                <c:pt idx="37">
                  <c:v>618256.83235759591</c:v>
                </c:pt>
                <c:pt idx="38">
                  <c:v>686199.93806934264</c:v>
                </c:pt>
                <c:pt idx="39">
                  <c:v>688546.97306625417</c:v>
                </c:pt>
                <c:pt idx="40">
                  <c:v>689018.59624222701</c:v>
                </c:pt>
                <c:pt idx="41">
                  <c:v>651749.43230037321</c:v>
                </c:pt>
                <c:pt idx="42">
                  <c:v>679817.21325060388</c:v>
                </c:pt>
                <c:pt idx="43">
                  <c:v>705933.2328321581</c:v>
                </c:pt>
                <c:pt idx="44">
                  <c:v>701762.98326978646</c:v>
                </c:pt>
                <c:pt idx="45">
                  <c:v>658961.03222932038</c:v>
                </c:pt>
                <c:pt idx="46">
                  <c:v>650188.98448949505</c:v>
                </c:pt>
              </c:numCache>
            </c:numRef>
          </c:yVal>
          <c:smooth val="0"/>
        </c:ser>
        <c:dLbls>
          <c:showLegendKey val="0"/>
          <c:showVal val="0"/>
          <c:showCatName val="0"/>
          <c:showSerName val="0"/>
          <c:showPercent val="0"/>
          <c:showBubbleSize val="0"/>
        </c:dLbls>
        <c:axId val="366528000"/>
        <c:axId val="366535424"/>
      </c:scatterChart>
      <c:valAx>
        <c:axId val="366528000"/>
        <c:scaling>
          <c:orientation val="minMax"/>
        </c:scaling>
        <c:delete val="0"/>
        <c:axPos val="b"/>
        <c:title>
          <c:tx>
            <c:rich>
              <a:bodyPr/>
              <a:lstStyle/>
              <a:p>
                <a:pPr>
                  <a:defRPr sz="1000" b="0" i="0" u="none" strike="noStrike" baseline="0">
                    <a:solidFill>
                      <a:srgbClr val="000000"/>
                    </a:solidFill>
                    <a:latin typeface="SWISS"/>
                    <a:ea typeface="SWISS"/>
                    <a:cs typeface="SWISS"/>
                  </a:defRPr>
                </a:pPr>
                <a:r>
                  <a:rPr lang="en-US"/>
                  <a:t>Brood Year</a:t>
                </a:r>
              </a:p>
            </c:rich>
          </c:tx>
          <c:layout>
            <c:manualLayout>
              <c:xMode val="edge"/>
              <c:yMode val="edge"/>
              <c:x val="0.50852505681687765"/>
              <c:y val="0.88162017247844604"/>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SWISS"/>
                <a:ea typeface="SWISS"/>
                <a:cs typeface="SWISS"/>
              </a:defRPr>
            </a:pPr>
            <a:endParaRPr lang="en-US"/>
          </a:p>
        </c:txPr>
        <c:crossAx val="366535424"/>
        <c:crosses val="autoZero"/>
        <c:crossBetween val="midCat"/>
      </c:valAx>
      <c:valAx>
        <c:axId val="366535424"/>
        <c:scaling>
          <c:orientation val="minMax"/>
        </c:scaling>
        <c:delete val="0"/>
        <c:axPos val="l"/>
        <c:title>
          <c:tx>
            <c:rich>
              <a:bodyPr/>
              <a:lstStyle/>
              <a:p>
                <a:pPr>
                  <a:defRPr sz="1000" b="0" i="0" u="none" strike="noStrike" baseline="0">
                    <a:solidFill>
                      <a:srgbClr val="000000"/>
                    </a:solidFill>
                    <a:latin typeface="SWISS"/>
                    <a:ea typeface="SWISS"/>
                    <a:cs typeface="SWISS"/>
                  </a:defRPr>
                </a:pPr>
                <a:r>
                  <a:rPr lang="en-US"/>
                  <a:t>Age 1.2 Return</a:t>
                </a:r>
              </a:p>
            </c:rich>
          </c:tx>
          <c:layout>
            <c:manualLayout>
              <c:xMode val="edge"/>
              <c:yMode val="edge"/>
              <c:x val="2.338039377730845E-2"/>
              <c:y val="0.41047094113236243"/>
            </c:manualLayout>
          </c:layout>
          <c:overlay val="0"/>
          <c:spPr>
            <a:noFill/>
            <a:ln w="25400">
              <a:noFill/>
            </a:ln>
          </c:spPr>
        </c:title>
        <c:numFmt formatCode="#,##0_);\(#,##0\)"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SWISS"/>
                <a:ea typeface="SWISS"/>
                <a:cs typeface="SWISS"/>
              </a:defRPr>
            </a:pPr>
            <a:endParaRPr lang="en-US"/>
          </a:p>
        </c:txPr>
        <c:crossAx val="366528000"/>
        <c:crosses val="autoZero"/>
        <c:crossBetween val="midCat"/>
      </c:valAx>
      <c:spPr>
        <a:solidFill>
          <a:srgbClr val="FFFFFF"/>
        </a:solidFill>
        <a:ln w="12700">
          <a:solidFill>
            <a:srgbClr val="000000"/>
          </a:solidFill>
          <a:prstDash val="solid"/>
        </a:ln>
      </c:spPr>
    </c:plotArea>
    <c:legend>
      <c:legendPos val="b"/>
      <c:layout>
        <c:manualLayout>
          <c:xMode val="edge"/>
          <c:yMode val="edge"/>
          <c:x val="0.34486184124943897"/>
          <c:y val="0.94408305211849308"/>
          <c:w val="0.42669344903315826"/>
          <c:h val="4.2831833520805412E-2"/>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920" b="0" i="0" u="none" strike="noStrike" baseline="0">
              <a:solidFill>
                <a:srgbClr val="000000"/>
              </a:solidFill>
              <a:latin typeface="SWISS"/>
              <a:ea typeface="SWISS"/>
              <a:cs typeface="SWISS"/>
            </a:defRPr>
          </a:pPr>
          <a:endParaRPr lang="en-US"/>
        </a:p>
      </c:txPr>
    </c:legend>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i="0" u="none" strike="noStrike" baseline="0">
                <a:solidFill>
                  <a:srgbClr val="000000"/>
                </a:solidFill>
                <a:latin typeface="Arial"/>
                <a:ea typeface="Arial"/>
                <a:cs typeface="Arial"/>
              </a:defRPr>
            </a:pPr>
            <a:r>
              <a:rPr lang="en-US"/>
              <a:t>SIBLING LN 1.3 FROM LN 1.2</a:t>
            </a:r>
          </a:p>
        </c:rich>
      </c:tx>
      <c:layout>
        <c:manualLayout>
          <c:xMode val="edge"/>
          <c:yMode val="edge"/>
          <c:x val="0.36324973829138379"/>
          <c:y val="3.7290320053277218E-2"/>
        </c:manualLayout>
      </c:layout>
      <c:overlay val="0"/>
      <c:spPr>
        <a:solidFill>
          <a:srgbClr val="FFFFFF"/>
        </a:solidFill>
        <a:ln w="25400">
          <a:noFill/>
        </a:ln>
      </c:spPr>
    </c:title>
    <c:autoTitleDeleted val="0"/>
    <c:plotArea>
      <c:layout>
        <c:manualLayout>
          <c:layoutTarget val="inner"/>
          <c:xMode val="edge"/>
          <c:yMode val="edge"/>
          <c:x val="0.11953590520720712"/>
          <c:y val="8.7632282357739552E-2"/>
          <c:w val="0.8425538006975436"/>
          <c:h val="0.77190989140648192"/>
        </c:manualLayout>
      </c:layout>
      <c:scatterChart>
        <c:scatterStyle val="lineMarker"/>
        <c:varyColors val="0"/>
        <c:ser>
          <c:idx val="0"/>
          <c:order val="0"/>
          <c:tx>
            <c:v>ACTUAL</c:v>
          </c:tx>
          <c:spPr>
            <a:ln w="28575">
              <a:noFill/>
            </a:ln>
          </c:spPr>
          <c:marker>
            <c:symbol val="x"/>
            <c:size val="5"/>
            <c:spPr>
              <a:solidFill>
                <a:schemeClr val="tx1"/>
              </a:solidFill>
            </c:spPr>
          </c:marker>
          <c:dLbls>
            <c:dLbl>
              <c:idx val="0"/>
              <c:tx>
                <c:strRef>
                  <c:f>ln13xln12!$AC$13</c:f>
                  <c:strCache>
                    <c:ptCount val="1"/>
                    <c:pt idx="0">
                      <c:v>67 </c:v>
                    </c:pt>
                  </c:strCache>
                </c:strRef>
              </c:tx>
              <c:dLblPos val="t"/>
              <c:showLegendKey val="0"/>
              <c:showVal val="1"/>
              <c:showCatName val="0"/>
              <c:showSerName val="0"/>
              <c:showPercent val="0"/>
              <c:showBubbleSize val="0"/>
            </c:dLbl>
            <c:dLbl>
              <c:idx val="1"/>
              <c:tx>
                <c:strRef>
                  <c:f>ln13xln12!$AC$14</c:f>
                  <c:strCache>
                    <c:ptCount val="1"/>
                    <c:pt idx="0">
                      <c:v>68 </c:v>
                    </c:pt>
                  </c:strCache>
                </c:strRef>
              </c:tx>
              <c:dLblPos val="t"/>
              <c:showLegendKey val="0"/>
              <c:showVal val="1"/>
              <c:showCatName val="0"/>
              <c:showSerName val="0"/>
              <c:showPercent val="0"/>
              <c:showBubbleSize val="0"/>
            </c:dLbl>
            <c:dLbl>
              <c:idx val="2"/>
              <c:tx>
                <c:strRef>
                  <c:f>ln13xln12!$AC$15</c:f>
                  <c:strCache>
                    <c:ptCount val="1"/>
                    <c:pt idx="0">
                      <c:v>69 </c:v>
                    </c:pt>
                  </c:strCache>
                </c:strRef>
              </c:tx>
              <c:dLblPos val="t"/>
              <c:showLegendKey val="0"/>
              <c:showVal val="1"/>
              <c:showCatName val="0"/>
              <c:showSerName val="0"/>
              <c:showPercent val="0"/>
              <c:showBubbleSize val="0"/>
            </c:dLbl>
            <c:dLbl>
              <c:idx val="3"/>
              <c:tx>
                <c:strRef>
                  <c:f>ln13xln12!$AC$16</c:f>
                  <c:strCache>
                    <c:ptCount val="1"/>
                    <c:pt idx="0">
                      <c:v>70 </c:v>
                    </c:pt>
                  </c:strCache>
                </c:strRef>
              </c:tx>
              <c:dLblPos val="t"/>
              <c:showLegendKey val="0"/>
              <c:showVal val="1"/>
              <c:showCatName val="0"/>
              <c:showSerName val="0"/>
              <c:showPercent val="0"/>
              <c:showBubbleSize val="0"/>
            </c:dLbl>
            <c:dLbl>
              <c:idx val="4"/>
              <c:tx>
                <c:strRef>
                  <c:f>ln13xln12!$AC$17</c:f>
                  <c:strCache>
                    <c:ptCount val="1"/>
                    <c:pt idx="0">
                      <c:v>71 </c:v>
                    </c:pt>
                  </c:strCache>
                </c:strRef>
              </c:tx>
              <c:dLblPos val="t"/>
              <c:showLegendKey val="0"/>
              <c:showVal val="1"/>
              <c:showCatName val="0"/>
              <c:showSerName val="0"/>
              <c:showPercent val="0"/>
              <c:showBubbleSize val="0"/>
            </c:dLbl>
            <c:dLbl>
              <c:idx val="5"/>
              <c:tx>
                <c:strRef>
                  <c:f>ln13xln12!$AC$18</c:f>
                  <c:strCache>
                    <c:ptCount val="1"/>
                    <c:pt idx="0">
                      <c:v>72 </c:v>
                    </c:pt>
                  </c:strCache>
                </c:strRef>
              </c:tx>
              <c:dLblPos val="t"/>
              <c:showLegendKey val="0"/>
              <c:showVal val="1"/>
              <c:showCatName val="0"/>
              <c:showSerName val="0"/>
              <c:showPercent val="0"/>
              <c:showBubbleSize val="0"/>
            </c:dLbl>
            <c:dLbl>
              <c:idx val="6"/>
              <c:tx>
                <c:strRef>
                  <c:f>ln13xln12!$AC$19</c:f>
                  <c:strCache>
                    <c:ptCount val="1"/>
                    <c:pt idx="0">
                      <c:v>73 </c:v>
                    </c:pt>
                  </c:strCache>
                </c:strRef>
              </c:tx>
              <c:dLblPos val="t"/>
              <c:showLegendKey val="0"/>
              <c:showVal val="1"/>
              <c:showCatName val="0"/>
              <c:showSerName val="0"/>
              <c:showPercent val="0"/>
              <c:showBubbleSize val="0"/>
            </c:dLbl>
            <c:dLbl>
              <c:idx val="7"/>
              <c:tx>
                <c:strRef>
                  <c:f>ln13xln12!$AC$20</c:f>
                  <c:strCache>
                    <c:ptCount val="1"/>
                    <c:pt idx="0">
                      <c:v>74 </c:v>
                    </c:pt>
                  </c:strCache>
                </c:strRef>
              </c:tx>
              <c:dLblPos val="t"/>
              <c:showLegendKey val="0"/>
              <c:showVal val="1"/>
              <c:showCatName val="0"/>
              <c:showSerName val="0"/>
              <c:showPercent val="0"/>
              <c:showBubbleSize val="0"/>
            </c:dLbl>
            <c:dLbl>
              <c:idx val="8"/>
              <c:tx>
                <c:strRef>
                  <c:f>ln13xln12!$AC$21</c:f>
                  <c:strCache>
                    <c:ptCount val="1"/>
                    <c:pt idx="0">
                      <c:v>75 </c:v>
                    </c:pt>
                  </c:strCache>
                </c:strRef>
              </c:tx>
              <c:dLblPos val="t"/>
              <c:showLegendKey val="0"/>
              <c:showVal val="1"/>
              <c:showCatName val="0"/>
              <c:showSerName val="0"/>
              <c:showPercent val="0"/>
              <c:showBubbleSize val="0"/>
            </c:dLbl>
            <c:dLbl>
              <c:idx val="9"/>
              <c:tx>
                <c:strRef>
                  <c:f>ln13xln12!$AC$22</c:f>
                  <c:strCache>
                    <c:ptCount val="1"/>
                    <c:pt idx="0">
                      <c:v>76 </c:v>
                    </c:pt>
                  </c:strCache>
                </c:strRef>
              </c:tx>
              <c:dLblPos val="t"/>
              <c:showLegendKey val="0"/>
              <c:showVal val="1"/>
              <c:showCatName val="0"/>
              <c:showSerName val="0"/>
              <c:showPercent val="0"/>
              <c:showBubbleSize val="0"/>
            </c:dLbl>
            <c:dLbl>
              <c:idx val="10"/>
              <c:tx>
                <c:strRef>
                  <c:f>ln13xln12!$AC$23</c:f>
                  <c:strCache>
                    <c:ptCount val="1"/>
                    <c:pt idx="0">
                      <c:v>77 </c:v>
                    </c:pt>
                  </c:strCache>
                </c:strRef>
              </c:tx>
              <c:dLblPos val="t"/>
              <c:showLegendKey val="0"/>
              <c:showVal val="1"/>
              <c:showCatName val="0"/>
              <c:showSerName val="0"/>
              <c:showPercent val="0"/>
              <c:showBubbleSize val="0"/>
            </c:dLbl>
            <c:dLbl>
              <c:idx val="11"/>
              <c:tx>
                <c:strRef>
                  <c:f>ln13xln12!$AC$24</c:f>
                  <c:strCache>
                    <c:ptCount val="1"/>
                    <c:pt idx="0">
                      <c:v>78 </c:v>
                    </c:pt>
                  </c:strCache>
                </c:strRef>
              </c:tx>
              <c:dLblPos val="t"/>
              <c:showLegendKey val="0"/>
              <c:showVal val="1"/>
              <c:showCatName val="0"/>
              <c:showSerName val="0"/>
              <c:showPercent val="0"/>
              <c:showBubbleSize val="0"/>
            </c:dLbl>
            <c:dLbl>
              <c:idx val="12"/>
              <c:tx>
                <c:strRef>
                  <c:f>ln13xln12!$AC$25</c:f>
                  <c:strCache>
                    <c:ptCount val="1"/>
                    <c:pt idx="0">
                      <c:v>79 </c:v>
                    </c:pt>
                  </c:strCache>
                </c:strRef>
              </c:tx>
              <c:dLblPos val="t"/>
              <c:showLegendKey val="0"/>
              <c:showVal val="1"/>
              <c:showCatName val="0"/>
              <c:showSerName val="0"/>
              <c:showPercent val="0"/>
              <c:showBubbleSize val="0"/>
            </c:dLbl>
            <c:dLbl>
              <c:idx val="13"/>
              <c:tx>
                <c:strRef>
                  <c:f>ln13xln12!$AC$26</c:f>
                  <c:strCache>
                    <c:ptCount val="1"/>
                    <c:pt idx="0">
                      <c:v>80 </c:v>
                    </c:pt>
                  </c:strCache>
                </c:strRef>
              </c:tx>
              <c:dLblPos val="t"/>
              <c:showLegendKey val="0"/>
              <c:showVal val="1"/>
              <c:showCatName val="0"/>
              <c:showSerName val="0"/>
              <c:showPercent val="0"/>
              <c:showBubbleSize val="0"/>
            </c:dLbl>
            <c:dLbl>
              <c:idx val="14"/>
              <c:tx>
                <c:strRef>
                  <c:f>ln13xln12!$AC$27</c:f>
                  <c:strCache>
                    <c:ptCount val="1"/>
                    <c:pt idx="0">
                      <c:v>81 </c:v>
                    </c:pt>
                  </c:strCache>
                </c:strRef>
              </c:tx>
              <c:dLblPos val="t"/>
              <c:showLegendKey val="0"/>
              <c:showVal val="1"/>
              <c:showCatName val="0"/>
              <c:showSerName val="0"/>
              <c:showPercent val="0"/>
              <c:showBubbleSize val="0"/>
            </c:dLbl>
            <c:dLbl>
              <c:idx val="15"/>
              <c:tx>
                <c:strRef>
                  <c:f>ln13xln12!$AC$28</c:f>
                  <c:strCache>
                    <c:ptCount val="1"/>
                    <c:pt idx="0">
                      <c:v>82 </c:v>
                    </c:pt>
                  </c:strCache>
                </c:strRef>
              </c:tx>
              <c:dLblPos val="t"/>
              <c:showLegendKey val="0"/>
              <c:showVal val="1"/>
              <c:showCatName val="0"/>
              <c:showSerName val="0"/>
              <c:showPercent val="0"/>
              <c:showBubbleSize val="0"/>
            </c:dLbl>
            <c:dLbl>
              <c:idx val="16"/>
              <c:tx>
                <c:strRef>
                  <c:f>ln13xln12!$AC$29</c:f>
                  <c:strCache>
                    <c:ptCount val="1"/>
                    <c:pt idx="0">
                      <c:v>83 </c:v>
                    </c:pt>
                  </c:strCache>
                </c:strRef>
              </c:tx>
              <c:dLblPos val="t"/>
              <c:showLegendKey val="0"/>
              <c:showVal val="1"/>
              <c:showCatName val="0"/>
              <c:showSerName val="0"/>
              <c:showPercent val="0"/>
              <c:showBubbleSize val="0"/>
            </c:dLbl>
            <c:dLbl>
              <c:idx val="17"/>
              <c:tx>
                <c:strRef>
                  <c:f>ln13xln12!$AC$30</c:f>
                  <c:strCache>
                    <c:ptCount val="1"/>
                    <c:pt idx="0">
                      <c:v>84 </c:v>
                    </c:pt>
                  </c:strCache>
                </c:strRef>
              </c:tx>
              <c:dLblPos val="t"/>
              <c:showLegendKey val="0"/>
              <c:showVal val="1"/>
              <c:showCatName val="0"/>
              <c:showSerName val="0"/>
              <c:showPercent val="0"/>
              <c:showBubbleSize val="0"/>
            </c:dLbl>
            <c:dLbl>
              <c:idx val="18"/>
              <c:tx>
                <c:strRef>
                  <c:f>ln13xln12!$AC$31</c:f>
                  <c:strCache>
                    <c:ptCount val="1"/>
                    <c:pt idx="0">
                      <c:v>85 </c:v>
                    </c:pt>
                  </c:strCache>
                </c:strRef>
              </c:tx>
              <c:dLblPos val="t"/>
              <c:showLegendKey val="0"/>
              <c:showVal val="1"/>
              <c:showCatName val="0"/>
              <c:showSerName val="0"/>
              <c:showPercent val="0"/>
              <c:showBubbleSize val="0"/>
            </c:dLbl>
            <c:dLbl>
              <c:idx val="19"/>
              <c:tx>
                <c:strRef>
                  <c:f>ln13xln12!$AC$32</c:f>
                  <c:strCache>
                    <c:ptCount val="1"/>
                    <c:pt idx="0">
                      <c:v>86 </c:v>
                    </c:pt>
                  </c:strCache>
                </c:strRef>
              </c:tx>
              <c:dLblPos val="t"/>
              <c:showLegendKey val="0"/>
              <c:showVal val="1"/>
              <c:showCatName val="0"/>
              <c:showSerName val="0"/>
              <c:showPercent val="0"/>
              <c:showBubbleSize val="0"/>
            </c:dLbl>
            <c:dLbl>
              <c:idx val="20"/>
              <c:tx>
                <c:strRef>
                  <c:f>ln13xln12!$AC$33</c:f>
                  <c:strCache>
                    <c:ptCount val="1"/>
                    <c:pt idx="0">
                      <c:v>87 </c:v>
                    </c:pt>
                  </c:strCache>
                </c:strRef>
              </c:tx>
              <c:dLblPos val="t"/>
              <c:showLegendKey val="0"/>
              <c:showVal val="1"/>
              <c:showCatName val="0"/>
              <c:showSerName val="0"/>
              <c:showPercent val="0"/>
              <c:showBubbleSize val="0"/>
            </c:dLbl>
            <c:dLbl>
              <c:idx val="21"/>
              <c:tx>
                <c:strRef>
                  <c:f>ln13xln12!$AC$34</c:f>
                  <c:strCache>
                    <c:ptCount val="1"/>
                    <c:pt idx="0">
                      <c:v>88 </c:v>
                    </c:pt>
                  </c:strCache>
                </c:strRef>
              </c:tx>
              <c:dLblPos val="t"/>
              <c:showLegendKey val="0"/>
              <c:showVal val="1"/>
              <c:showCatName val="0"/>
              <c:showSerName val="0"/>
              <c:showPercent val="0"/>
              <c:showBubbleSize val="0"/>
            </c:dLbl>
            <c:dLbl>
              <c:idx val="22"/>
              <c:tx>
                <c:strRef>
                  <c:f>ln13xln12!$AC$35</c:f>
                  <c:strCache>
                    <c:ptCount val="1"/>
                    <c:pt idx="0">
                      <c:v>89 </c:v>
                    </c:pt>
                  </c:strCache>
                </c:strRef>
              </c:tx>
              <c:dLblPos val="t"/>
              <c:showLegendKey val="0"/>
              <c:showVal val="1"/>
              <c:showCatName val="0"/>
              <c:showSerName val="0"/>
              <c:showPercent val="0"/>
              <c:showBubbleSize val="0"/>
            </c:dLbl>
            <c:dLbl>
              <c:idx val="23"/>
              <c:tx>
                <c:strRef>
                  <c:f>ln13xln12!$AC$36</c:f>
                  <c:strCache>
                    <c:ptCount val="1"/>
                    <c:pt idx="0">
                      <c:v>90 </c:v>
                    </c:pt>
                  </c:strCache>
                </c:strRef>
              </c:tx>
              <c:dLblPos val="t"/>
              <c:showLegendKey val="0"/>
              <c:showVal val="1"/>
              <c:showCatName val="0"/>
              <c:showSerName val="0"/>
              <c:showPercent val="0"/>
              <c:showBubbleSize val="0"/>
            </c:dLbl>
            <c:dLbl>
              <c:idx val="24"/>
              <c:tx>
                <c:strRef>
                  <c:f>ln13xln12!$AC$37</c:f>
                  <c:strCache>
                    <c:ptCount val="1"/>
                    <c:pt idx="0">
                      <c:v>91 </c:v>
                    </c:pt>
                  </c:strCache>
                </c:strRef>
              </c:tx>
              <c:dLblPos val="t"/>
              <c:showLegendKey val="0"/>
              <c:showVal val="1"/>
              <c:showCatName val="0"/>
              <c:showSerName val="0"/>
              <c:showPercent val="0"/>
              <c:showBubbleSize val="0"/>
            </c:dLbl>
            <c:dLbl>
              <c:idx val="25"/>
              <c:tx>
                <c:strRef>
                  <c:f>ln13xln12!$AC$38</c:f>
                  <c:strCache>
                    <c:ptCount val="1"/>
                    <c:pt idx="0">
                      <c:v>92 </c:v>
                    </c:pt>
                  </c:strCache>
                </c:strRef>
              </c:tx>
              <c:dLblPos val="t"/>
              <c:showLegendKey val="0"/>
              <c:showVal val="1"/>
              <c:showCatName val="0"/>
              <c:showSerName val="0"/>
              <c:showPercent val="0"/>
              <c:showBubbleSize val="0"/>
            </c:dLbl>
            <c:dLbl>
              <c:idx val="26"/>
              <c:tx>
                <c:strRef>
                  <c:f>ln13xln12!$AC$39</c:f>
                  <c:strCache>
                    <c:ptCount val="1"/>
                    <c:pt idx="0">
                      <c:v>93 </c:v>
                    </c:pt>
                  </c:strCache>
                </c:strRef>
              </c:tx>
              <c:dLblPos val="t"/>
              <c:showLegendKey val="0"/>
              <c:showVal val="1"/>
              <c:showCatName val="0"/>
              <c:showSerName val="0"/>
              <c:showPercent val="0"/>
              <c:showBubbleSize val="0"/>
            </c:dLbl>
            <c:dLbl>
              <c:idx val="27"/>
              <c:tx>
                <c:strRef>
                  <c:f>ln13xln12!$AC$40</c:f>
                  <c:strCache>
                    <c:ptCount val="1"/>
                    <c:pt idx="0">
                      <c:v>94 </c:v>
                    </c:pt>
                  </c:strCache>
                </c:strRef>
              </c:tx>
              <c:dLblPos val="t"/>
              <c:showLegendKey val="0"/>
              <c:showVal val="1"/>
              <c:showCatName val="0"/>
              <c:showSerName val="0"/>
              <c:showPercent val="0"/>
              <c:showBubbleSize val="0"/>
            </c:dLbl>
            <c:dLbl>
              <c:idx val="28"/>
              <c:tx>
                <c:strRef>
                  <c:f>ln13xln12!$AC$41</c:f>
                  <c:strCache>
                    <c:ptCount val="1"/>
                    <c:pt idx="0">
                      <c:v>95 </c:v>
                    </c:pt>
                  </c:strCache>
                </c:strRef>
              </c:tx>
              <c:dLblPos val="t"/>
              <c:showLegendKey val="0"/>
              <c:showVal val="1"/>
              <c:showCatName val="0"/>
              <c:showSerName val="0"/>
              <c:showPercent val="0"/>
              <c:showBubbleSize val="0"/>
            </c:dLbl>
            <c:dLbl>
              <c:idx val="29"/>
              <c:tx>
                <c:strRef>
                  <c:f>ln13xln12!$AC$42</c:f>
                  <c:strCache>
                    <c:ptCount val="1"/>
                    <c:pt idx="0">
                      <c:v>96 </c:v>
                    </c:pt>
                  </c:strCache>
                </c:strRef>
              </c:tx>
              <c:dLblPos val="t"/>
              <c:showLegendKey val="0"/>
              <c:showVal val="1"/>
              <c:showCatName val="0"/>
              <c:showSerName val="0"/>
              <c:showPercent val="0"/>
              <c:showBubbleSize val="0"/>
            </c:dLbl>
            <c:dLbl>
              <c:idx val="30"/>
              <c:tx>
                <c:strRef>
                  <c:f>ln13xln12!$AC$43</c:f>
                  <c:strCache>
                    <c:ptCount val="1"/>
                    <c:pt idx="0">
                      <c:v>97 </c:v>
                    </c:pt>
                  </c:strCache>
                </c:strRef>
              </c:tx>
              <c:dLblPos val="t"/>
              <c:showLegendKey val="0"/>
              <c:showVal val="1"/>
              <c:showCatName val="0"/>
              <c:showSerName val="0"/>
              <c:showPercent val="0"/>
              <c:showBubbleSize val="0"/>
            </c:dLbl>
            <c:dLbl>
              <c:idx val="31"/>
              <c:tx>
                <c:strRef>
                  <c:f>ln13xln12!$AC$44</c:f>
                  <c:strCache>
                    <c:ptCount val="1"/>
                    <c:pt idx="0">
                      <c:v>98 </c:v>
                    </c:pt>
                  </c:strCache>
                </c:strRef>
              </c:tx>
              <c:dLblPos val="t"/>
              <c:showLegendKey val="0"/>
              <c:showVal val="1"/>
              <c:showCatName val="0"/>
              <c:showSerName val="0"/>
              <c:showPercent val="0"/>
              <c:showBubbleSize val="0"/>
            </c:dLbl>
            <c:dLbl>
              <c:idx val="32"/>
              <c:tx>
                <c:strRef>
                  <c:f>ln13xln12!$AC$45</c:f>
                  <c:strCache>
                    <c:ptCount val="1"/>
                    <c:pt idx="0">
                      <c:v>99 </c:v>
                    </c:pt>
                  </c:strCache>
                </c:strRef>
              </c:tx>
              <c:dLblPos val="t"/>
              <c:showLegendKey val="0"/>
              <c:showVal val="1"/>
              <c:showCatName val="0"/>
              <c:showSerName val="0"/>
              <c:showPercent val="0"/>
              <c:showBubbleSize val="0"/>
            </c:dLbl>
            <c:dLbl>
              <c:idx val="33"/>
              <c:tx>
                <c:strRef>
                  <c:f>ln13xln12!$AC$46</c:f>
                  <c:strCache>
                    <c:ptCount val="1"/>
                    <c:pt idx="0">
                      <c:v>00</c:v>
                    </c:pt>
                  </c:strCache>
                </c:strRef>
              </c:tx>
              <c:dLblPos val="t"/>
              <c:showLegendKey val="0"/>
              <c:showVal val="1"/>
              <c:showCatName val="0"/>
              <c:showSerName val="0"/>
              <c:showPercent val="0"/>
              <c:showBubbleSize val="0"/>
            </c:dLbl>
            <c:dLbl>
              <c:idx val="34"/>
              <c:tx>
                <c:strRef>
                  <c:f>ln13xln12!$AC$47</c:f>
                  <c:strCache>
                    <c:ptCount val="1"/>
                    <c:pt idx="0">
                      <c:v>01</c:v>
                    </c:pt>
                  </c:strCache>
                </c:strRef>
              </c:tx>
              <c:dLblPos val="t"/>
              <c:showLegendKey val="0"/>
              <c:showVal val="1"/>
              <c:showCatName val="0"/>
              <c:showSerName val="0"/>
              <c:showPercent val="0"/>
              <c:showBubbleSize val="0"/>
            </c:dLbl>
            <c:dLbl>
              <c:idx val="35"/>
              <c:tx>
                <c:strRef>
                  <c:f>ln13xln12!$AC$48</c:f>
                  <c:strCache>
                    <c:ptCount val="1"/>
                    <c:pt idx="0">
                      <c:v>02</c:v>
                    </c:pt>
                  </c:strCache>
                </c:strRef>
              </c:tx>
              <c:dLblPos val="t"/>
              <c:showLegendKey val="0"/>
              <c:showVal val="1"/>
              <c:showCatName val="0"/>
              <c:showSerName val="0"/>
              <c:showPercent val="0"/>
              <c:showBubbleSize val="0"/>
            </c:dLbl>
            <c:dLbl>
              <c:idx val="36"/>
              <c:tx>
                <c:strRef>
                  <c:f>ln13xln12!$AC$49</c:f>
                  <c:strCache>
                    <c:ptCount val="1"/>
                    <c:pt idx="0">
                      <c:v>03</c:v>
                    </c:pt>
                  </c:strCache>
                </c:strRef>
              </c:tx>
              <c:dLblPos val="t"/>
              <c:showLegendKey val="0"/>
              <c:showVal val="1"/>
              <c:showCatName val="0"/>
              <c:showSerName val="0"/>
              <c:showPercent val="0"/>
              <c:showBubbleSize val="0"/>
            </c:dLbl>
            <c:dLbl>
              <c:idx val="37"/>
              <c:tx>
                <c:strRef>
                  <c:f>ln13xln12!$AC$50</c:f>
                  <c:strCache>
                    <c:ptCount val="1"/>
                    <c:pt idx="0">
                      <c:v>04</c:v>
                    </c:pt>
                  </c:strCache>
                </c:strRef>
              </c:tx>
              <c:dLblPos val="t"/>
              <c:showLegendKey val="0"/>
              <c:showVal val="1"/>
              <c:showCatName val="0"/>
              <c:showSerName val="0"/>
              <c:showPercent val="0"/>
              <c:showBubbleSize val="0"/>
            </c:dLbl>
            <c:dLbl>
              <c:idx val="38"/>
              <c:tx>
                <c:strRef>
                  <c:f>ln13xln12!$AC$51</c:f>
                  <c:strCache>
                    <c:ptCount val="1"/>
                    <c:pt idx="0">
                      <c:v>05</c:v>
                    </c:pt>
                  </c:strCache>
                </c:strRef>
              </c:tx>
              <c:dLblPos val="t"/>
              <c:showLegendKey val="0"/>
              <c:showVal val="1"/>
              <c:showCatName val="0"/>
              <c:showSerName val="0"/>
              <c:showPercent val="0"/>
              <c:showBubbleSize val="0"/>
            </c:dLbl>
            <c:dLbl>
              <c:idx val="39"/>
              <c:tx>
                <c:strRef>
                  <c:f>ln13xln12!$AC$52</c:f>
                  <c:strCache>
                    <c:ptCount val="1"/>
                    <c:pt idx="0">
                      <c:v>06</c:v>
                    </c:pt>
                  </c:strCache>
                </c:strRef>
              </c:tx>
              <c:dLblPos val="t"/>
              <c:showLegendKey val="0"/>
              <c:showVal val="1"/>
              <c:showCatName val="0"/>
              <c:showSerName val="0"/>
              <c:showPercent val="0"/>
              <c:showBubbleSize val="0"/>
            </c:dLbl>
            <c:dLbl>
              <c:idx val="40"/>
              <c:tx>
                <c:strRef>
                  <c:f>ln13xln12!$AC$53</c:f>
                  <c:strCache>
                    <c:ptCount val="1"/>
                    <c:pt idx="0">
                      <c:v>07</c:v>
                    </c:pt>
                  </c:strCache>
                </c:strRef>
              </c:tx>
              <c:dLblPos val="t"/>
              <c:showLegendKey val="0"/>
              <c:showVal val="1"/>
              <c:showCatName val="0"/>
              <c:showSerName val="0"/>
              <c:showPercent val="0"/>
              <c:showBubbleSize val="0"/>
            </c:dLbl>
            <c:dLbl>
              <c:idx val="41"/>
              <c:tx>
                <c:strRef>
                  <c:f>ln13xln12!$AC$54</c:f>
                  <c:strCache>
                    <c:ptCount val="1"/>
                    <c:pt idx="0">
                      <c:v>08</c:v>
                    </c:pt>
                  </c:strCache>
                </c:strRef>
              </c:tx>
              <c:dLblPos val="t"/>
              <c:showLegendKey val="0"/>
              <c:showVal val="1"/>
              <c:showCatName val="0"/>
              <c:showSerName val="0"/>
              <c:showPercent val="0"/>
              <c:showBubbleSize val="0"/>
            </c:dLbl>
            <c:dLbl>
              <c:idx val="42"/>
              <c:tx>
                <c:strRef>
                  <c:f>ln13xln12!$AC$55</c:f>
                  <c:strCache>
                    <c:ptCount val="1"/>
                    <c:pt idx="0">
                      <c:v>09</c:v>
                    </c:pt>
                  </c:strCache>
                </c:strRef>
              </c:tx>
              <c:dLblPos val="t"/>
              <c:showLegendKey val="0"/>
              <c:showVal val="1"/>
              <c:showCatName val="0"/>
              <c:showSerName val="0"/>
              <c:showPercent val="0"/>
              <c:showBubbleSize val="0"/>
            </c:dLbl>
            <c:dLbl>
              <c:idx val="43"/>
              <c:tx>
                <c:strRef>
                  <c:f>ln13xln12!$AC$56</c:f>
                  <c:strCache>
                    <c:ptCount val="1"/>
                    <c:pt idx="0">
                      <c:v>10</c:v>
                    </c:pt>
                  </c:strCache>
                </c:strRef>
              </c:tx>
              <c:dLblPos val="t"/>
              <c:showLegendKey val="0"/>
              <c:showVal val="1"/>
              <c:showCatName val="0"/>
              <c:showSerName val="0"/>
              <c:showPercent val="0"/>
              <c:showBubbleSize val="0"/>
            </c:dLbl>
            <c:dLbl>
              <c:idx val="44"/>
              <c:tx>
                <c:strRef>
                  <c:f>ln13xln12!$AC$57</c:f>
                  <c:strCache>
                    <c:ptCount val="1"/>
                    <c:pt idx="0">
                      <c:v>11 </c:v>
                    </c:pt>
                  </c:strCache>
                </c:strRef>
              </c:tx>
              <c:dLblPos val="t"/>
              <c:showLegendKey val="0"/>
              <c:showVal val="1"/>
              <c:showCatName val="0"/>
              <c:showSerName val="0"/>
              <c:showPercent val="0"/>
              <c:showBubbleSize val="0"/>
            </c:dLbl>
            <c:dLbl>
              <c:idx val="45"/>
              <c:tx>
                <c:strRef>
                  <c:f>ln13xln12!$AC$60</c:f>
                  <c:strCache>
                    <c:ptCount val="1"/>
                    <c:pt idx="0">
                      <c:v>12 </c:v>
                    </c:pt>
                  </c:strCache>
                </c:strRef>
              </c:tx>
              <c:dLblPos val="t"/>
              <c:showLegendKey val="0"/>
              <c:showVal val="1"/>
              <c:showCatName val="0"/>
              <c:showSerName val="0"/>
              <c:showPercent val="0"/>
              <c:showBubbleSize val="0"/>
            </c:dLbl>
            <c:showLegendKey val="0"/>
            <c:showVal val="1"/>
            <c:showCatName val="0"/>
            <c:showSerName val="0"/>
            <c:showPercent val="0"/>
            <c:showBubbleSize val="0"/>
            <c:showLeaderLines val="0"/>
          </c:dLbls>
          <c:trendline>
            <c:spPr>
              <a:ln w="25400">
                <a:solidFill>
                  <a:srgbClr val="000000"/>
                </a:solidFill>
                <a:prstDash val="solid"/>
              </a:ln>
            </c:spPr>
            <c:trendlineType val="linear"/>
            <c:dispRSqr val="1"/>
            <c:dispEq val="1"/>
            <c:trendlineLbl>
              <c:layout>
                <c:manualLayout>
                  <c:x val="-4.1909260936593504E-3"/>
                  <c:y val="0.40553220444406096"/>
                </c:manualLayout>
              </c:layout>
              <c:tx>
                <c:rich>
                  <a:bodyPr/>
                  <a:lstStyle/>
                  <a:p>
                    <a:pPr>
                      <a:defRPr sz="1000" b="0" i="0" u="none" strike="noStrike" baseline="0">
                        <a:solidFill>
                          <a:srgbClr val="000000"/>
                        </a:solidFill>
                        <a:latin typeface="Times New Roman"/>
                        <a:ea typeface="Times New Roman"/>
                        <a:cs typeface="Times New Roman"/>
                      </a:defRPr>
                    </a:pPr>
                    <a:r>
                      <a:rPr lang="en-US" sz="1200" b="0" i="0" u="none" strike="noStrike" baseline="0">
                        <a:solidFill>
                          <a:srgbClr val="000000"/>
                        </a:solidFill>
                        <a:latin typeface="Times New Roman"/>
                        <a:cs typeface="Times New Roman"/>
                      </a:rPr>
                      <a:t>y = 0.501x + 7.6748</a:t>
                    </a:r>
                  </a:p>
                  <a:p>
                    <a:pPr>
                      <a:defRPr sz="1000" b="0" i="0" u="none" strike="noStrike" baseline="0">
                        <a:solidFill>
                          <a:srgbClr val="000000"/>
                        </a:solidFill>
                        <a:latin typeface="Times New Roman"/>
                        <a:ea typeface="Times New Roman"/>
                        <a:cs typeface="Times New Roman"/>
                      </a:defRPr>
                    </a:pPr>
                    <a:r>
                      <a:rPr lang="en-US" sz="1200" b="0" i="0" u="none" strike="noStrike" baseline="0">
                        <a:solidFill>
                          <a:srgbClr val="000000"/>
                        </a:solidFill>
                        <a:latin typeface="Times New Roman"/>
                        <a:cs typeface="Times New Roman"/>
                      </a:rPr>
                      <a:t>R</a:t>
                    </a:r>
                    <a:r>
                      <a:rPr lang="en-US" sz="1200" b="0" i="0" u="none" strike="noStrike" baseline="30000">
                        <a:solidFill>
                          <a:srgbClr val="000000"/>
                        </a:solidFill>
                        <a:latin typeface="Times New Roman"/>
                        <a:cs typeface="Times New Roman"/>
                      </a:rPr>
                      <a:t>2</a:t>
                    </a:r>
                    <a:r>
                      <a:rPr lang="en-US" sz="1200" b="0" i="0" u="none" strike="noStrike" baseline="0">
                        <a:solidFill>
                          <a:srgbClr val="000000"/>
                        </a:solidFill>
                        <a:latin typeface="Times New Roman"/>
                        <a:cs typeface="Times New Roman"/>
                      </a:rPr>
                      <a:t> = 0.4769</a:t>
                    </a:r>
                  </a:p>
                </c:rich>
              </c:tx>
              <c:numFmt formatCode="General" sourceLinked="0"/>
              <c:spPr>
                <a:noFill/>
                <a:ln w="25400">
                  <a:noFill/>
                </a:ln>
              </c:spPr>
            </c:trendlineLbl>
          </c:trendline>
          <c:xVal>
            <c:numRef>
              <c:f>ln13xln12!$Z$13:$Z$62</c:f>
              <c:numCache>
                <c:formatCode>General</c:formatCode>
                <c:ptCount val="50"/>
                <c:pt idx="0">
                  <c:v>11.536658238263195</c:v>
                </c:pt>
                <c:pt idx="1">
                  <c:v>11.488555614200711</c:v>
                </c:pt>
                <c:pt idx="2">
                  <c:v>12.580110559849002</c:v>
                </c:pt>
                <c:pt idx="3">
                  <c:v>12.864569076480791</c:v>
                </c:pt>
                <c:pt idx="4">
                  <c:v>12.618710702125638</c:v>
                </c:pt>
                <c:pt idx="5">
                  <c:v>11.485777379207695</c:v>
                </c:pt>
                <c:pt idx="6">
                  <c:v>11.890550097717687</c:v>
                </c:pt>
                <c:pt idx="7">
                  <c:v>11.527954939121013</c:v>
                </c:pt>
                <c:pt idx="8">
                  <c:v>11.337791564019003</c:v>
                </c:pt>
                <c:pt idx="9">
                  <c:v>10.786199106171235</c:v>
                </c:pt>
                <c:pt idx="10">
                  <c:v>11.849668897253039</c:v>
                </c:pt>
                <c:pt idx="11">
                  <c:v>10.319922690953129</c:v>
                </c:pt>
                <c:pt idx="12">
                  <c:v>11.947676971583181</c:v>
                </c:pt>
                <c:pt idx="13">
                  <c:v>11.137836486346464</c:v>
                </c:pt>
                <c:pt idx="14">
                  <c:v>12.065175246038875</c:v>
                </c:pt>
                <c:pt idx="15">
                  <c:v>11.814132726468909</c:v>
                </c:pt>
                <c:pt idx="16">
                  <c:v>12.793846775642196</c:v>
                </c:pt>
                <c:pt idx="17">
                  <c:v>12.755644426092186</c:v>
                </c:pt>
                <c:pt idx="18">
                  <c:v>12.223216515315409</c:v>
                </c:pt>
                <c:pt idx="19">
                  <c:v>11.964532789893058</c:v>
                </c:pt>
                <c:pt idx="20">
                  <c:v>12.585188327865673</c:v>
                </c:pt>
                <c:pt idx="21">
                  <c:v>11.642981829504725</c:v>
                </c:pt>
                <c:pt idx="22">
                  <c:v>12.593228770058985</c:v>
                </c:pt>
                <c:pt idx="23">
                  <c:v>12.391479356752267</c:v>
                </c:pt>
                <c:pt idx="24">
                  <c:v>12.555611132914068</c:v>
                </c:pt>
                <c:pt idx="25">
                  <c:v>12.345291589425951</c:v>
                </c:pt>
                <c:pt idx="26">
                  <c:v>12.379846726997387</c:v>
                </c:pt>
                <c:pt idx="27" formatCode="0.0000_)">
                  <c:v>12.428871221134534</c:v>
                </c:pt>
                <c:pt idx="28" formatCode="0.0000_)">
                  <c:v>12.258436364026526</c:v>
                </c:pt>
                <c:pt idx="29" formatCode="0.0000_)">
                  <c:v>13.002996181295167</c:v>
                </c:pt>
                <c:pt idx="30" formatCode="0.0000_)">
                  <c:v>13.133155005618168</c:v>
                </c:pt>
                <c:pt idx="31" formatCode="0.0000_)">
                  <c:v>12.418977384077587</c:v>
                </c:pt>
                <c:pt idx="32" formatCode="0.0000_)">
                  <c:v>12.511596953312337</c:v>
                </c:pt>
                <c:pt idx="33" formatCode="0.0000_)">
                  <c:v>12.2982204445282</c:v>
                </c:pt>
                <c:pt idx="34" formatCode="0.0000_)">
                  <c:v>11.24254472532397</c:v>
                </c:pt>
                <c:pt idx="35" formatCode="0.0000_)">
                  <c:v>11.519344460525044</c:v>
                </c:pt>
                <c:pt idx="36" formatCode="0.0000_)">
                  <c:v>12.791219118371064</c:v>
                </c:pt>
                <c:pt idx="37" formatCode="0.0000_)">
                  <c:v>12.514228118178037</c:v>
                </c:pt>
                <c:pt idx="38" formatCode="0.0000_)">
                  <c:v>13.125935222752243</c:v>
                </c:pt>
                <c:pt idx="39" formatCode="0.0000_)">
                  <c:v>12.461291763994264</c:v>
                </c:pt>
                <c:pt idx="40" formatCode="0.0000_)">
                  <c:v>12.90210788889968</c:v>
                </c:pt>
                <c:pt idx="41" formatCode="0.0000_)">
                  <c:v>11.881020630189884</c:v>
                </c:pt>
                <c:pt idx="42" formatCode="0.0000_)">
                  <c:v>11.545882550464155</c:v>
                </c:pt>
                <c:pt idx="43" formatCode="0.0000_)">
                  <c:v>12.761895949735445</c:v>
                </c:pt>
                <c:pt idx="44" formatCode="0.0000_)">
                  <c:v>12.923364923755361</c:v>
                </c:pt>
                <c:pt idx="45" formatCode="0.0000_)">
                  <c:v>13.000595114838205</c:v>
                </c:pt>
                <c:pt idx="46" formatCode="0.0000_)">
                  <c:v>13.030386808710347</c:v>
                </c:pt>
                <c:pt idx="47" formatCode="0.0000_)">
                  <c:v>13.385855647136685</c:v>
                </c:pt>
                <c:pt idx="49" formatCode="0.0000_)">
                  <c:v>13.454435293186728</c:v>
                </c:pt>
              </c:numCache>
            </c:numRef>
          </c:xVal>
          <c:yVal>
            <c:numRef>
              <c:f>ln13xln12!$AB$13:$AB$60</c:f>
              <c:numCache>
                <c:formatCode>General</c:formatCode>
                <c:ptCount val="48"/>
                <c:pt idx="0">
                  <c:v>13.237120983130074</c:v>
                </c:pt>
                <c:pt idx="1">
                  <c:v>13.106071709770401</c:v>
                </c:pt>
                <c:pt idx="2">
                  <c:v>13.636544025217798</c:v>
                </c:pt>
                <c:pt idx="3">
                  <c:v>13.934935302361204</c:v>
                </c:pt>
                <c:pt idx="4">
                  <c:v>13.695125080202772</c:v>
                </c:pt>
                <c:pt idx="5">
                  <c:v>13.469993411243443</c:v>
                </c:pt>
                <c:pt idx="6">
                  <c:v>13.292926891590582</c:v>
                </c:pt>
                <c:pt idx="7">
                  <c:v>13.366855574069275</c:v>
                </c:pt>
                <c:pt idx="8">
                  <c:v>12.755967055394713</c:v>
                </c:pt>
                <c:pt idx="9">
                  <c:v>13.754613147674856</c:v>
                </c:pt>
                <c:pt idx="10">
                  <c:v>13.648497293799361</c:v>
                </c:pt>
                <c:pt idx="11">
                  <c:v>12.602715502852924</c:v>
                </c:pt>
                <c:pt idx="12">
                  <c:v>13.000725318656022</c:v>
                </c:pt>
                <c:pt idx="13">
                  <c:v>12.925948486164664</c:v>
                </c:pt>
                <c:pt idx="14">
                  <c:v>13.706895781055929</c:v>
                </c:pt>
                <c:pt idx="15">
                  <c:v>14.11696530569891</c:v>
                </c:pt>
                <c:pt idx="16">
                  <c:v>13.613528697493491</c:v>
                </c:pt>
                <c:pt idx="17">
                  <c:v>14.169276530236562</c:v>
                </c:pt>
                <c:pt idx="18">
                  <c:v>13.858768146655043</c:v>
                </c:pt>
                <c:pt idx="19">
                  <c:v>13.500399551096667</c:v>
                </c:pt>
                <c:pt idx="20">
                  <c:v>14.123812821422923</c:v>
                </c:pt>
                <c:pt idx="21">
                  <c:v>13.193528357920927</c:v>
                </c:pt>
                <c:pt idx="22">
                  <c:v>13.828371573710584</c:v>
                </c:pt>
                <c:pt idx="23">
                  <c:v>13.37144981129318</c:v>
                </c:pt>
                <c:pt idx="24">
                  <c:v>14.072007751012482</c:v>
                </c:pt>
                <c:pt idx="25">
                  <c:v>13.888105737944398</c:v>
                </c:pt>
                <c:pt idx="26">
                  <c:v>14.100673827299241</c:v>
                </c:pt>
                <c:pt idx="27">
                  <c:v>14.102620144485565</c:v>
                </c:pt>
                <c:pt idx="28">
                  <c:v>13.874070782802761</c:v>
                </c:pt>
                <c:pt idx="29">
                  <c:v>14.50323529563542</c:v>
                </c:pt>
                <c:pt idx="30">
                  <c:v>14.697313220380199</c:v>
                </c:pt>
                <c:pt idx="31">
                  <c:v>13.922491248798858</c:v>
                </c:pt>
                <c:pt idx="32">
                  <c:v>14.011595524522779</c:v>
                </c:pt>
                <c:pt idx="33">
                  <c:v>13.74269233377956</c:v>
                </c:pt>
                <c:pt idx="34">
                  <c:v>14.32895948682159</c:v>
                </c:pt>
                <c:pt idx="35">
                  <c:v>14.039363355788447</c:v>
                </c:pt>
                <c:pt idx="36">
                  <c:v>14.137569843559483</c:v>
                </c:pt>
                <c:pt idx="37">
                  <c:v>13.811698053073718</c:v>
                </c:pt>
                <c:pt idx="38">
                  <c:v>14.176239858706381</c:v>
                </c:pt>
                <c:pt idx="39">
                  <c:v>14.202399903364208</c:v>
                </c:pt>
                <c:pt idx="40">
                  <c:v>14.640443886698622</c:v>
                </c:pt>
                <c:pt idx="41">
                  <c:v>13.587551950740307</c:v>
                </c:pt>
                <c:pt idx="42">
                  <c:v>13.754121868260308</c:v>
                </c:pt>
                <c:pt idx="43">
                  <c:v>13.501477075906118</c:v>
                </c:pt>
                <c:pt idx="44">
                  <c:v>14.421147248530623</c:v>
                </c:pt>
                <c:pt idx="45">
                  <c:v>14.547533233630642</c:v>
                </c:pt>
                <c:pt idx="46">
                  <c:v>14.206228091770475</c:v>
                </c:pt>
                <c:pt idx="47">
                  <c:v>14.444629537743996</c:v>
                </c:pt>
              </c:numCache>
            </c:numRef>
          </c:yVal>
          <c:smooth val="0"/>
        </c:ser>
        <c:ser>
          <c:idx val="1"/>
          <c:order val="1"/>
          <c:spPr>
            <a:ln w="12700">
              <a:solidFill>
                <a:srgbClr val="0000FF"/>
              </a:solidFill>
              <a:prstDash val="solid"/>
            </a:ln>
          </c:spPr>
          <c:marker>
            <c:symbol val="none"/>
          </c:marker>
          <c:xVal>
            <c:numRef>
              <c:f>ln13xln12!$Z$13:$Z$62</c:f>
              <c:numCache>
                <c:formatCode>General</c:formatCode>
                <c:ptCount val="50"/>
                <c:pt idx="0">
                  <c:v>11.536658238263195</c:v>
                </c:pt>
                <c:pt idx="1">
                  <c:v>11.488555614200711</c:v>
                </c:pt>
                <c:pt idx="2">
                  <c:v>12.580110559849002</c:v>
                </c:pt>
                <c:pt idx="3">
                  <c:v>12.864569076480791</c:v>
                </c:pt>
                <c:pt idx="4">
                  <c:v>12.618710702125638</c:v>
                </c:pt>
                <c:pt idx="5">
                  <c:v>11.485777379207695</c:v>
                </c:pt>
                <c:pt idx="6">
                  <c:v>11.890550097717687</c:v>
                </c:pt>
                <c:pt idx="7">
                  <c:v>11.527954939121013</c:v>
                </c:pt>
                <c:pt idx="8">
                  <c:v>11.337791564019003</c:v>
                </c:pt>
                <c:pt idx="9">
                  <c:v>10.786199106171235</c:v>
                </c:pt>
                <c:pt idx="10">
                  <c:v>11.849668897253039</c:v>
                </c:pt>
                <c:pt idx="11">
                  <c:v>10.319922690953129</c:v>
                </c:pt>
                <c:pt idx="12">
                  <c:v>11.947676971583181</c:v>
                </c:pt>
                <c:pt idx="13">
                  <c:v>11.137836486346464</c:v>
                </c:pt>
                <c:pt idx="14">
                  <c:v>12.065175246038875</c:v>
                </c:pt>
                <c:pt idx="15">
                  <c:v>11.814132726468909</c:v>
                </c:pt>
                <c:pt idx="16">
                  <c:v>12.793846775642196</c:v>
                </c:pt>
                <c:pt idx="17">
                  <c:v>12.755644426092186</c:v>
                </c:pt>
                <c:pt idx="18">
                  <c:v>12.223216515315409</c:v>
                </c:pt>
                <c:pt idx="19">
                  <c:v>11.964532789893058</c:v>
                </c:pt>
                <c:pt idx="20">
                  <c:v>12.585188327865673</c:v>
                </c:pt>
                <c:pt idx="21">
                  <c:v>11.642981829504725</c:v>
                </c:pt>
                <c:pt idx="22">
                  <c:v>12.593228770058985</c:v>
                </c:pt>
                <c:pt idx="23">
                  <c:v>12.391479356752267</c:v>
                </c:pt>
                <c:pt idx="24">
                  <c:v>12.555611132914068</c:v>
                </c:pt>
                <c:pt idx="25">
                  <c:v>12.345291589425951</c:v>
                </c:pt>
                <c:pt idx="26">
                  <c:v>12.379846726997387</c:v>
                </c:pt>
                <c:pt idx="27" formatCode="0.0000_)">
                  <c:v>12.428871221134534</c:v>
                </c:pt>
                <c:pt idx="28" formatCode="0.0000_)">
                  <c:v>12.258436364026526</c:v>
                </c:pt>
                <c:pt idx="29" formatCode="0.0000_)">
                  <c:v>13.002996181295167</c:v>
                </c:pt>
                <c:pt idx="30" formatCode="0.0000_)">
                  <c:v>13.133155005618168</c:v>
                </c:pt>
                <c:pt idx="31" formatCode="0.0000_)">
                  <c:v>12.418977384077587</c:v>
                </c:pt>
                <c:pt idx="32" formatCode="0.0000_)">
                  <c:v>12.511596953312337</c:v>
                </c:pt>
                <c:pt idx="33" formatCode="0.0000_)">
                  <c:v>12.2982204445282</c:v>
                </c:pt>
                <c:pt idx="34" formatCode="0.0000_)">
                  <c:v>11.24254472532397</c:v>
                </c:pt>
                <c:pt idx="35" formatCode="0.0000_)">
                  <c:v>11.519344460525044</c:v>
                </c:pt>
                <c:pt idx="36" formatCode="0.0000_)">
                  <c:v>12.791219118371064</c:v>
                </c:pt>
                <c:pt idx="37" formatCode="0.0000_)">
                  <c:v>12.514228118178037</c:v>
                </c:pt>
                <c:pt idx="38" formatCode="0.0000_)">
                  <c:v>13.125935222752243</c:v>
                </c:pt>
                <c:pt idx="39" formatCode="0.0000_)">
                  <c:v>12.461291763994264</c:v>
                </c:pt>
                <c:pt idx="40" formatCode="0.0000_)">
                  <c:v>12.90210788889968</c:v>
                </c:pt>
                <c:pt idx="41" formatCode="0.0000_)">
                  <c:v>11.881020630189884</c:v>
                </c:pt>
                <c:pt idx="42" formatCode="0.0000_)">
                  <c:v>11.545882550464155</c:v>
                </c:pt>
                <c:pt idx="43" formatCode="0.0000_)">
                  <c:v>12.761895949735445</c:v>
                </c:pt>
                <c:pt idx="44" formatCode="0.0000_)">
                  <c:v>12.923364923755361</c:v>
                </c:pt>
                <c:pt idx="45" formatCode="0.0000_)">
                  <c:v>13.000595114838205</c:v>
                </c:pt>
                <c:pt idx="46" formatCode="0.0000_)">
                  <c:v>13.030386808710347</c:v>
                </c:pt>
                <c:pt idx="47" formatCode="0.0000_)">
                  <c:v>13.385855647136685</c:v>
                </c:pt>
                <c:pt idx="49" formatCode="0.0000_)">
                  <c:v>13.454435293186728</c:v>
                </c:pt>
              </c:numCache>
            </c:numRef>
          </c:xVal>
          <c:yVal>
            <c:numRef>
              <c:f>ln13xln12!$AD$13:$AD$60</c:f>
              <c:numCache>
                <c:formatCode>General</c:formatCode>
                <c:ptCount val="48"/>
                <c:pt idx="0">
                  <c:v>12.979284983124877</c:v>
                </c:pt>
                <c:pt idx="1">
                  <c:v>12.954787512366003</c:v>
                </c:pt>
                <c:pt idx="2">
                  <c:v>13.510689313647976</c:v>
                </c:pt>
                <c:pt idx="3">
                  <c:v>13.655556965446937</c:v>
                </c:pt>
                <c:pt idx="4">
                  <c:v>13.53034740663438</c:v>
                </c:pt>
                <c:pt idx="5">
                  <c:v>12.953372626342023</c:v>
                </c:pt>
                <c:pt idx="6">
                  <c:v>13.159513310534397</c:v>
                </c:pt>
                <c:pt idx="7">
                  <c:v>12.974852609207721</c:v>
                </c:pt>
                <c:pt idx="8">
                  <c:v>12.878007129116673</c:v>
                </c:pt>
                <c:pt idx="9">
                  <c:v>12.597094801144934</c:v>
                </c:pt>
                <c:pt idx="10">
                  <c:v>13.13869353131259</c:v>
                </c:pt>
                <c:pt idx="11">
                  <c:v>12.359631813002729</c:v>
                </c:pt>
                <c:pt idx="12">
                  <c:v>13.188606607404189</c:v>
                </c:pt>
                <c:pt idx="13">
                  <c:v>12.776174978296609</c:v>
                </c:pt>
                <c:pt idx="14">
                  <c:v>13.248445557956193</c:v>
                </c:pt>
                <c:pt idx="15">
                  <c:v>13.120595842846868</c:v>
                </c:pt>
                <c:pt idx="16">
                  <c:v>13.619539855558227</c:v>
                </c:pt>
                <c:pt idx="17">
                  <c:v>13.600084348519648</c:v>
                </c:pt>
                <c:pt idx="18">
                  <c:v>13.328932048002315</c:v>
                </c:pt>
                <c:pt idx="19">
                  <c:v>13.19719085668811</c:v>
                </c:pt>
                <c:pt idx="20">
                  <c:v>13.513275294681925</c:v>
                </c:pt>
                <c:pt idx="21">
                  <c:v>13.033432945282506</c:v>
                </c:pt>
                <c:pt idx="22">
                  <c:v>13.517370092031509</c:v>
                </c:pt>
                <c:pt idx="23">
                  <c:v>13.414624130674358</c:v>
                </c:pt>
                <c:pt idx="24">
                  <c:v>13.498212364486781</c:v>
                </c:pt>
                <c:pt idx="25">
                  <c:v>13.391101848854049</c:v>
                </c:pt>
                <c:pt idx="26">
                  <c:v>13.40869992148987</c:v>
                </c:pt>
                <c:pt idx="27">
                  <c:v>13.433666877763052</c:v>
                </c:pt>
                <c:pt idx="28">
                  <c:v>13.346868641498997</c:v>
                </c:pt>
                <c:pt idx="29">
                  <c:v>13.72605444907737</c:v>
                </c:pt>
                <c:pt idx="30">
                  <c:v>13.792341102976344</c:v>
                </c:pt>
                <c:pt idx="31">
                  <c:v>13.42862819247884</c:v>
                </c:pt>
                <c:pt idx="32">
                  <c:v>13.475797036866219</c:v>
                </c:pt>
                <c:pt idx="33">
                  <c:v>13.367129684794527</c:v>
                </c:pt>
                <c:pt idx="34">
                  <c:v>12.829500281698621</c:v>
                </c:pt>
                <c:pt idx="35">
                  <c:v>12.97046750648753</c:v>
                </c:pt>
                <c:pt idx="36">
                  <c:v>13.618201655025127</c:v>
                </c:pt>
                <c:pt idx="37">
                  <c:v>13.477137023730045</c:v>
                </c:pt>
                <c:pt idx="38">
                  <c:v>13.788664247023254</c:v>
                </c:pt>
                <c:pt idx="39">
                  <c:v>13.450177854371343</c:v>
                </c:pt>
                <c:pt idx="40">
                  <c:v>13.674674549518027</c:v>
                </c:pt>
                <c:pt idx="41">
                  <c:v>13.154660189594324</c:v>
                </c:pt>
                <c:pt idx="42">
                  <c:v>12.983982696042165</c:v>
                </c:pt>
                <c:pt idx="43">
                  <c:v>13.603268094118437</c:v>
                </c:pt>
                <c:pt idx="44">
                  <c:v>13.685500228988674</c:v>
                </c:pt>
                <c:pt idx="45">
                  <c:v>13.724831645613612</c:v>
                </c:pt>
                <c:pt idx="46">
                  <c:v>13.740003814777236</c:v>
                </c:pt>
                <c:pt idx="47">
                  <c:v>13.921035258378502</c:v>
                </c:pt>
              </c:numCache>
            </c:numRef>
          </c:yVal>
          <c:smooth val="0"/>
        </c:ser>
        <c:ser>
          <c:idx val="2"/>
          <c:order val="2"/>
          <c:spPr>
            <a:ln w="12700">
              <a:solidFill>
                <a:srgbClr val="0000FF"/>
              </a:solidFill>
              <a:prstDash val="solid"/>
            </a:ln>
          </c:spPr>
          <c:marker>
            <c:symbol val="none"/>
          </c:marker>
          <c:xVal>
            <c:numRef>
              <c:f>ln13xln12!$Z$13:$Z$62</c:f>
              <c:numCache>
                <c:formatCode>General</c:formatCode>
                <c:ptCount val="50"/>
                <c:pt idx="0">
                  <c:v>11.536658238263195</c:v>
                </c:pt>
                <c:pt idx="1">
                  <c:v>11.488555614200711</c:v>
                </c:pt>
                <c:pt idx="2">
                  <c:v>12.580110559849002</c:v>
                </c:pt>
                <c:pt idx="3">
                  <c:v>12.864569076480791</c:v>
                </c:pt>
                <c:pt idx="4">
                  <c:v>12.618710702125638</c:v>
                </c:pt>
                <c:pt idx="5">
                  <c:v>11.485777379207695</c:v>
                </c:pt>
                <c:pt idx="6">
                  <c:v>11.890550097717687</c:v>
                </c:pt>
                <c:pt idx="7">
                  <c:v>11.527954939121013</c:v>
                </c:pt>
                <c:pt idx="8">
                  <c:v>11.337791564019003</c:v>
                </c:pt>
                <c:pt idx="9">
                  <c:v>10.786199106171235</c:v>
                </c:pt>
                <c:pt idx="10">
                  <c:v>11.849668897253039</c:v>
                </c:pt>
                <c:pt idx="11">
                  <c:v>10.319922690953129</c:v>
                </c:pt>
                <c:pt idx="12">
                  <c:v>11.947676971583181</c:v>
                </c:pt>
                <c:pt idx="13">
                  <c:v>11.137836486346464</c:v>
                </c:pt>
                <c:pt idx="14">
                  <c:v>12.065175246038875</c:v>
                </c:pt>
                <c:pt idx="15">
                  <c:v>11.814132726468909</c:v>
                </c:pt>
                <c:pt idx="16">
                  <c:v>12.793846775642196</c:v>
                </c:pt>
                <c:pt idx="17">
                  <c:v>12.755644426092186</c:v>
                </c:pt>
                <c:pt idx="18">
                  <c:v>12.223216515315409</c:v>
                </c:pt>
                <c:pt idx="19">
                  <c:v>11.964532789893058</c:v>
                </c:pt>
                <c:pt idx="20">
                  <c:v>12.585188327865673</c:v>
                </c:pt>
                <c:pt idx="21">
                  <c:v>11.642981829504725</c:v>
                </c:pt>
                <c:pt idx="22">
                  <c:v>12.593228770058985</c:v>
                </c:pt>
                <c:pt idx="23">
                  <c:v>12.391479356752267</c:v>
                </c:pt>
                <c:pt idx="24">
                  <c:v>12.555611132914068</c:v>
                </c:pt>
                <c:pt idx="25">
                  <c:v>12.345291589425951</c:v>
                </c:pt>
                <c:pt idx="26">
                  <c:v>12.379846726997387</c:v>
                </c:pt>
                <c:pt idx="27" formatCode="0.0000_)">
                  <c:v>12.428871221134534</c:v>
                </c:pt>
                <c:pt idx="28" formatCode="0.0000_)">
                  <c:v>12.258436364026526</c:v>
                </c:pt>
                <c:pt idx="29" formatCode="0.0000_)">
                  <c:v>13.002996181295167</c:v>
                </c:pt>
                <c:pt idx="30" formatCode="0.0000_)">
                  <c:v>13.133155005618168</c:v>
                </c:pt>
                <c:pt idx="31" formatCode="0.0000_)">
                  <c:v>12.418977384077587</c:v>
                </c:pt>
                <c:pt idx="32" formatCode="0.0000_)">
                  <c:v>12.511596953312337</c:v>
                </c:pt>
                <c:pt idx="33" formatCode="0.0000_)">
                  <c:v>12.2982204445282</c:v>
                </c:pt>
                <c:pt idx="34" formatCode="0.0000_)">
                  <c:v>11.24254472532397</c:v>
                </c:pt>
                <c:pt idx="35" formatCode="0.0000_)">
                  <c:v>11.519344460525044</c:v>
                </c:pt>
                <c:pt idx="36" formatCode="0.0000_)">
                  <c:v>12.791219118371064</c:v>
                </c:pt>
                <c:pt idx="37" formatCode="0.0000_)">
                  <c:v>12.514228118178037</c:v>
                </c:pt>
                <c:pt idx="38" formatCode="0.0000_)">
                  <c:v>13.125935222752243</c:v>
                </c:pt>
                <c:pt idx="39" formatCode="0.0000_)">
                  <c:v>12.461291763994264</c:v>
                </c:pt>
                <c:pt idx="40" formatCode="0.0000_)">
                  <c:v>12.90210788889968</c:v>
                </c:pt>
                <c:pt idx="41" formatCode="0.0000_)">
                  <c:v>11.881020630189884</c:v>
                </c:pt>
                <c:pt idx="42" formatCode="0.0000_)">
                  <c:v>11.545882550464155</c:v>
                </c:pt>
                <c:pt idx="43" formatCode="0.0000_)">
                  <c:v>12.761895949735445</c:v>
                </c:pt>
                <c:pt idx="44" formatCode="0.0000_)">
                  <c:v>12.923364923755361</c:v>
                </c:pt>
                <c:pt idx="45" formatCode="0.0000_)">
                  <c:v>13.000595114838205</c:v>
                </c:pt>
                <c:pt idx="46" formatCode="0.0000_)">
                  <c:v>13.030386808710347</c:v>
                </c:pt>
                <c:pt idx="47" formatCode="0.0000_)">
                  <c:v>13.385855647136685</c:v>
                </c:pt>
                <c:pt idx="49" formatCode="0.0000_)">
                  <c:v>13.454435293186728</c:v>
                </c:pt>
              </c:numCache>
            </c:numRef>
          </c:xVal>
          <c:yVal>
            <c:numRef>
              <c:f>ln13xln12!$AE$13:$AE$60</c:f>
              <c:numCache>
                <c:formatCode>General</c:formatCode>
                <c:ptCount val="48"/>
                <c:pt idx="0">
                  <c:v>13.932805645395376</c:v>
                </c:pt>
                <c:pt idx="1">
                  <c:v>13.908308174636502</c:v>
                </c:pt>
                <c:pt idx="2">
                  <c:v>14.464209975918475</c:v>
                </c:pt>
                <c:pt idx="3">
                  <c:v>14.609077627717436</c:v>
                </c:pt>
                <c:pt idx="4">
                  <c:v>14.483868068904879</c:v>
                </c:pt>
                <c:pt idx="5">
                  <c:v>13.906893288612522</c:v>
                </c:pt>
                <c:pt idx="6">
                  <c:v>14.113033972804896</c:v>
                </c:pt>
                <c:pt idx="7">
                  <c:v>13.92837327147822</c:v>
                </c:pt>
                <c:pt idx="8">
                  <c:v>13.831527791387172</c:v>
                </c:pt>
                <c:pt idx="9">
                  <c:v>13.550615463415433</c:v>
                </c:pt>
                <c:pt idx="10">
                  <c:v>14.092214193583089</c:v>
                </c:pt>
                <c:pt idx="11">
                  <c:v>13.313152475273228</c:v>
                </c:pt>
                <c:pt idx="12">
                  <c:v>14.142127269674688</c:v>
                </c:pt>
                <c:pt idx="13">
                  <c:v>13.729695640567108</c:v>
                </c:pt>
                <c:pt idx="14">
                  <c:v>14.201966220226693</c:v>
                </c:pt>
                <c:pt idx="15">
                  <c:v>14.074116505117367</c:v>
                </c:pt>
                <c:pt idx="16">
                  <c:v>14.573060517828726</c:v>
                </c:pt>
                <c:pt idx="17">
                  <c:v>14.553605010790147</c:v>
                </c:pt>
                <c:pt idx="18">
                  <c:v>14.282452710272814</c:v>
                </c:pt>
                <c:pt idx="19">
                  <c:v>14.150711518958609</c:v>
                </c:pt>
                <c:pt idx="20">
                  <c:v>14.466795956952424</c:v>
                </c:pt>
                <c:pt idx="21">
                  <c:v>13.986953607553005</c:v>
                </c:pt>
                <c:pt idx="22">
                  <c:v>14.470890754302008</c:v>
                </c:pt>
                <c:pt idx="23">
                  <c:v>14.368144792944857</c:v>
                </c:pt>
                <c:pt idx="24">
                  <c:v>14.45173302675728</c:v>
                </c:pt>
                <c:pt idx="25">
                  <c:v>14.344622511124548</c:v>
                </c:pt>
                <c:pt idx="26">
                  <c:v>14.362220583760369</c:v>
                </c:pt>
                <c:pt idx="27">
                  <c:v>14.387187540033551</c:v>
                </c:pt>
                <c:pt idx="28">
                  <c:v>14.300389303769496</c:v>
                </c:pt>
                <c:pt idx="29">
                  <c:v>14.679575111347869</c:v>
                </c:pt>
                <c:pt idx="30">
                  <c:v>14.745861765246843</c:v>
                </c:pt>
                <c:pt idx="31">
                  <c:v>14.382148854749339</c:v>
                </c:pt>
                <c:pt idx="32">
                  <c:v>14.429317699136718</c:v>
                </c:pt>
                <c:pt idx="33">
                  <c:v>14.320650347065026</c:v>
                </c:pt>
                <c:pt idx="34">
                  <c:v>13.78302094396912</c:v>
                </c:pt>
                <c:pt idx="35">
                  <c:v>13.923988168758029</c:v>
                </c:pt>
                <c:pt idx="36">
                  <c:v>14.571722317295626</c:v>
                </c:pt>
                <c:pt idx="37">
                  <c:v>14.430657686000544</c:v>
                </c:pt>
                <c:pt idx="38">
                  <c:v>14.742184909293753</c:v>
                </c:pt>
                <c:pt idx="39">
                  <c:v>14.403698516641843</c:v>
                </c:pt>
                <c:pt idx="40">
                  <c:v>14.628195211788526</c:v>
                </c:pt>
                <c:pt idx="41">
                  <c:v>14.108180851864823</c:v>
                </c:pt>
                <c:pt idx="42">
                  <c:v>13.937503358312664</c:v>
                </c:pt>
                <c:pt idx="43">
                  <c:v>14.556788756388936</c:v>
                </c:pt>
                <c:pt idx="44">
                  <c:v>14.639020891259173</c:v>
                </c:pt>
                <c:pt idx="45">
                  <c:v>14.678352307884111</c:v>
                </c:pt>
                <c:pt idx="46">
                  <c:v>14.693524477047735</c:v>
                </c:pt>
                <c:pt idx="47">
                  <c:v>14.874555920649001</c:v>
                </c:pt>
              </c:numCache>
            </c:numRef>
          </c:yVal>
          <c:smooth val="0"/>
        </c:ser>
        <c:ser>
          <c:idx val="3"/>
          <c:order val="3"/>
          <c:tx>
            <c:v>Forecast</c:v>
          </c:tx>
          <c:spPr>
            <a:ln w="12700">
              <a:solidFill>
                <a:srgbClr val="FF00FF"/>
              </a:solidFill>
              <a:prstDash val="solid"/>
            </a:ln>
          </c:spPr>
          <c:marker>
            <c:symbol val="square"/>
            <c:size val="10"/>
            <c:spPr>
              <a:solidFill>
                <a:srgbClr val="FF00FF"/>
              </a:solidFill>
              <a:ln>
                <a:solidFill>
                  <a:srgbClr val="000000"/>
                </a:solidFill>
                <a:prstDash val="solid"/>
              </a:ln>
            </c:spPr>
          </c:marker>
          <c:xVal>
            <c:numRef>
              <c:f>ln13xln12!$Z$13:$Z$62</c:f>
              <c:numCache>
                <c:formatCode>General</c:formatCode>
                <c:ptCount val="50"/>
                <c:pt idx="0">
                  <c:v>11.536658238263195</c:v>
                </c:pt>
                <c:pt idx="1">
                  <c:v>11.488555614200711</c:v>
                </c:pt>
                <c:pt idx="2">
                  <c:v>12.580110559849002</c:v>
                </c:pt>
                <c:pt idx="3">
                  <c:v>12.864569076480791</c:v>
                </c:pt>
                <c:pt idx="4">
                  <c:v>12.618710702125638</c:v>
                </c:pt>
                <c:pt idx="5">
                  <c:v>11.485777379207695</c:v>
                </c:pt>
                <c:pt idx="6">
                  <c:v>11.890550097717687</c:v>
                </c:pt>
                <c:pt idx="7">
                  <c:v>11.527954939121013</c:v>
                </c:pt>
                <c:pt idx="8">
                  <c:v>11.337791564019003</c:v>
                </c:pt>
                <c:pt idx="9">
                  <c:v>10.786199106171235</c:v>
                </c:pt>
                <c:pt idx="10">
                  <c:v>11.849668897253039</c:v>
                </c:pt>
                <c:pt idx="11">
                  <c:v>10.319922690953129</c:v>
                </c:pt>
                <c:pt idx="12">
                  <c:v>11.947676971583181</c:v>
                </c:pt>
                <c:pt idx="13">
                  <c:v>11.137836486346464</c:v>
                </c:pt>
                <c:pt idx="14">
                  <c:v>12.065175246038875</c:v>
                </c:pt>
                <c:pt idx="15">
                  <c:v>11.814132726468909</c:v>
                </c:pt>
                <c:pt idx="16">
                  <c:v>12.793846775642196</c:v>
                </c:pt>
                <c:pt idx="17">
                  <c:v>12.755644426092186</c:v>
                </c:pt>
                <c:pt idx="18">
                  <c:v>12.223216515315409</c:v>
                </c:pt>
                <c:pt idx="19">
                  <c:v>11.964532789893058</c:v>
                </c:pt>
                <c:pt idx="20">
                  <c:v>12.585188327865673</c:v>
                </c:pt>
                <c:pt idx="21">
                  <c:v>11.642981829504725</c:v>
                </c:pt>
                <c:pt idx="22">
                  <c:v>12.593228770058985</c:v>
                </c:pt>
                <c:pt idx="23">
                  <c:v>12.391479356752267</c:v>
                </c:pt>
                <c:pt idx="24">
                  <c:v>12.555611132914068</c:v>
                </c:pt>
                <c:pt idx="25">
                  <c:v>12.345291589425951</c:v>
                </c:pt>
                <c:pt idx="26">
                  <c:v>12.379846726997387</c:v>
                </c:pt>
                <c:pt idx="27" formatCode="0.0000_)">
                  <c:v>12.428871221134534</c:v>
                </c:pt>
                <c:pt idx="28" formatCode="0.0000_)">
                  <c:v>12.258436364026526</c:v>
                </c:pt>
                <c:pt idx="29" formatCode="0.0000_)">
                  <c:v>13.002996181295167</c:v>
                </c:pt>
                <c:pt idx="30" formatCode="0.0000_)">
                  <c:v>13.133155005618168</c:v>
                </c:pt>
                <c:pt idx="31" formatCode="0.0000_)">
                  <c:v>12.418977384077587</c:v>
                </c:pt>
                <c:pt idx="32" formatCode="0.0000_)">
                  <c:v>12.511596953312337</c:v>
                </c:pt>
                <c:pt idx="33" formatCode="0.0000_)">
                  <c:v>12.2982204445282</c:v>
                </c:pt>
                <c:pt idx="34" formatCode="0.0000_)">
                  <c:v>11.24254472532397</c:v>
                </c:pt>
                <c:pt idx="35" formatCode="0.0000_)">
                  <c:v>11.519344460525044</c:v>
                </c:pt>
                <c:pt idx="36" formatCode="0.0000_)">
                  <c:v>12.791219118371064</c:v>
                </c:pt>
                <c:pt idx="37" formatCode="0.0000_)">
                  <c:v>12.514228118178037</c:v>
                </c:pt>
                <c:pt idx="38" formatCode="0.0000_)">
                  <c:v>13.125935222752243</c:v>
                </c:pt>
                <c:pt idx="39" formatCode="0.0000_)">
                  <c:v>12.461291763994264</c:v>
                </c:pt>
                <c:pt idx="40" formatCode="0.0000_)">
                  <c:v>12.90210788889968</c:v>
                </c:pt>
                <c:pt idx="41" formatCode="0.0000_)">
                  <c:v>11.881020630189884</c:v>
                </c:pt>
                <c:pt idx="42" formatCode="0.0000_)">
                  <c:v>11.545882550464155</c:v>
                </c:pt>
                <c:pt idx="43" formatCode="0.0000_)">
                  <c:v>12.761895949735445</c:v>
                </c:pt>
                <c:pt idx="44" formatCode="0.0000_)">
                  <c:v>12.923364923755361</c:v>
                </c:pt>
                <c:pt idx="45" formatCode="0.0000_)">
                  <c:v>13.000595114838205</c:v>
                </c:pt>
                <c:pt idx="46" formatCode="0.0000_)">
                  <c:v>13.030386808710347</c:v>
                </c:pt>
                <c:pt idx="47" formatCode="0.0000_)">
                  <c:v>13.385855647136685</c:v>
                </c:pt>
                <c:pt idx="49" formatCode="0.0000_)">
                  <c:v>13.454435293186728</c:v>
                </c:pt>
              </c:numCache>
            </c:numRef>
          </c:xVal>
          <c:yVal>
            <c:numRef>
              <c:f>ln13xln12!$AF$13:$AF$62</c:f>
              <c:numCache>
                <c:formatCode>General</c:formatCode>
                <c:ptCount val="50"/>
                <c:pt idx="49" formatCode="0.0000_)">
                  <c:v>14.432721498578143</c:v>
                </c:pt>
              </c:numCache>
            </c:numRef>
          </c:yVal>
          <c:smooth val="0"/>
        </c:ser>
        <c:dLbls>
          <c:showLegendKey val="0"/>
          <c:showVal val="0"/>
          <c:showCatName val="0"/>
          <c:showSerName val="0"/>
          <c:showPercent val="0"/>
          <c:showBubbleSize val="0"/>
        </c:dLbls>
        <c:axId val="367012096"/>
        <c:axId val="367031040"/>
      </c:scatterChart>
      <c:valAx>
        <c:axId val="367012096"/>
        <c:scaling>
          <c:orientation val="minMax"/>
          <c:min val="10"/>
        </c:scaling>
        <c:delete val="0"/>
        <c:axPos val="b"/>
        <c:title>
          <c:tx>
            <c:rich>
              <a:bodyPr/>
              <a:lstStyle/>
              <a:p>
                <a:pPr>
                  <a:defRPr sz="1200" b="0" i="0" u="none" strike="noStrike" baseline="0">
                    <a:solidFill>
                      <a:srgbClr val="000000"/>
                    </a:solidFill>
                    <a:latin typeface="Arial"/>
                    <a:ea typeface="Arial"/>
                    <a:cs typeface="Arial"/>
                  </a:defRPr>
                </a:pPr>
                <a:r>
                  <a:rPr lang="en-US"/>
                  <a:t>LN AGED 1.2</a:t>
                </a:r>
              </a:p>
            </c:rich>
          </c:tx>
          <c:layout>
            <c:manualLayout>
              <c:xMode val="edge"/>
              <c:yMode val="edge"/>
              <c:x val="0.47234081288972107"/>
              <c:y val="0.92666470795628153"/>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67031040"/>
        <c:crosses val="autoZero"/>
        <c:crossBetween val="midCat"/>
      </c:valAx>
      <c:valAx>
        <c:axId val="367031040"/>
        <c:scaling>
          <c:orientation val="minMax"/>
          <c:min val="12"/>
        </c:scaling>
        <c:delete val="0"/>
        <c:axPos val="l"/>
        <c:title>
          <c:tx>
            <c:rich>
              <a:bodyPr/>
              <a:lstStyle/>
              <a:p>
                <a:pPr>
                  <a:defRPr sz="1200" b="0" i="0" u="none" strike="noStrike" baseline="0">
                    <a:solidFill>
                      <a:srgbClr val="000000"/>
                    </a:solidFill>
                    <a:latin typeface="Arial"/>
                    <a:ea typeface="Arial"/>
                    <a:cs typeface="Arial"/>
                  </a:defRPr>
                </a:pPr>
                <a:r>
                  <a:rPr lang="en-US"/>
                  <a:t>LN SIBLINGS AGED 1.3</a:t>
                </a:r>
              </a:p>
            </c:rich>
          </c:tx>
          <c:layout>
            <c:manualLayout>
              <c:xMode val="edge"/>
              <c:yMode val="edge"/>
              <c:x val="1.6247599107914987E-2"/>
              <c:y val="0.30950973479061611"/>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67012096"/>
        <c:crosses val="autoZero"/>
        <c:crossBetween val="midCat"/>
      </c:valAx>
      <c:spPr>
        <a:solidFill>
          <a:srgbClr val="FFFFFF"/>
        </a:solidFill>
        <a:ln w="25400">
          <a:noFill/>
        </a:ln>
      </c:spPr>
    </c:plotArea>
    <c:legend>
      <c:legendPos val="r"/>
      <c:legendEntry>
        <c:idx val="1"/>
        <c:delete val="1"/>
      </c:legendEntry>
      <c:legendEntry>
        <c:idx val="2"/>
        <c:delete val="1"/>
      </c:legendEntry>
      <c:layout>
        <c:manualLayout>
          <c:xMode val="edge"/>
          <c:yMode val="edge"/>
          <c:x val="0.13423609863080471"/>
          <c:y val="9.0101461197947638E-2"/>
          <c:w val="0.20696337135807741"/>
          <c:h val="0.22374192031966156"/>
        </c:manualLayout>
      </c:layout>
      <c:overlay val="0"/>
      <c:spPr>
        <a:solidFill>
          <a:srgbClr val="FFFFFF"/>
        </a:solidFill>
        <a:ln w="25400">
          <a:noFill/>
        </a:ln>
      </c:spPr>
      <c:txPr>
        <a:bodyPr/>
        <a:lstStyle/>
        <a:p>
          <a:pPr>
            <a:defRPr sz="120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orientation="landscape"/>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0" i="0" u="none" strike="noStrike" baseline="0">
                <a:solidFill>
                  <a:srgbClr val="000000"/>
                </a:solidFill>
                <a:latin typeface="SWISS"/>
                <a:ea typeface="SWISS"/>
                <a:cs typeface="SWISS"/>
              </a:defRPr>
            </a:pPr>
            <a:r>
              <a:rPr lang="en-US"/>
              <a:t>Pct Error Transformed vs Nontransformed</a:t>
            </a:r>
          </a:p>
        </c:rich>
      </c:tx>
      <c:layout>
        <c:manualLayout>
          <c:xMode val="edge"/>
          <c:yMode val="edge"/>
          <c:x val="0.22648382720275867"/>
          <c:y val="2.9146544181977249E-2"/>
        </c:manualLayout>
      </c:layout>
      <c:overlay val="0"/>
      <c:spPr>
        <a:solidFill>
          <a:srgbClr val="FFFFFF"/>
        </a:solidFill>
        <a:ln w="25400">
          <a:noFill/>
        </a:ln>
      </c:spPr>
    </c:title>
    <c:autoTitleDeleted val="0"/>
    <c:plotArea>
      <c:layout>
        <c:manualLayout>
          <c:layoutTarget val="inner"/>
          <c:xMode val="edge"/>
          <c:yMode val="edge"/>
          <c:x val="0.1501817897956432"/>
          <c:y val="0.13324116618550041"/>
          <c:w val="0.80662154841854183"/>
          <c:h val="0.64746879193265716"/>
        </c:manualLayout>
      </c:layout>
      <c:scatterChart>
        <c:scatterStyle val="lineMarker"/>
        <c:varyColors val="0"/>
        <c:ser>
          <c:idx val="0"/>
          <c:order val="0"/>
          <c:tx>
            <c:v>13x12</c:v>
          </c:tx>
          <c:spPr>
            <a:ln w="3175">
              <a:solidFill>
                <a:srgbClr val="00FF00"/>
              </a:solidFill>
              <a:prstDash val="solid"/>
            </a:ln>
          </c:spPr>
          <c:marker>
            <c:symbol val="diamond"/>
            <c:size val="5"/>
            <c:spPr>
              <a:solidFill>
                <a:srgbClr val="00FF00"/>
              </a:solidFill>
              <a:ln>
                <a:solidFill>
                  <a:srgbClr val="000000"/>
                </a:solidFill>
                <a:prstDash val="solid"/>
              </a:ln>
            </c:spPr>
          </c:marker>
          <c:xVal>
            <c:numRef>
              <c:f>ln13xln12!$A$13:$A$60</c:f>
              <c:numCache>
                <c:formatCode>General</c:formatCode>
                <c:ptCount val="48"/>
                <c:pt idx="0">
                  <c:v>1962</c:v>
                </c:pt>
                <c:pt idx="1">
                  <c:v>1963</c:v>
                </c:pt>
                <c:pt idx="2">
                  <c:v>1964</c:v>
                </c:pt>
                <c:pt idx="3">
                  <c:v>1965</c:v>
                </c:pt>
                <c:pt idx="4">
                  <c:v>1966</c:v>
                </c:pt>
                <c:pt idx="5">
                  <c:v>1967</c:v>
                </c:pt>
                <c:pt idx="6">
                  <c:v>1968</c:v>
                </c:pt>
                <c:pt idx="7">
                  <c:v>1969</c:v>
                </c:pt>
                <c:pt idx="8">
                  <c:v>1970</c:v>
                </c:pt>
                <c:pt idx="9">
                  <c:v>1971</c:v>
                </c:pt>
                <c:pt idx="10">
                  <c:v>1972</c:v>
                </c:pt>
                <c:pt idx="11">
                  <c:v>1973</c:v>
                </c:pt>
                <c:pt idx="12">
                  <c:v>1974</c:v>
                </c:pt>
                <c:pt idx="13">
                  <c:v>1975</c:v>
                </c:pt>
                <c:pt idx="14">
                  <c:v>1976</c:v>
                </c:pt>
                <c:pt idx="15">
                  <c:v>1977</c:v>
                </c:pt>
                <c:pt idx="16">
                  <c:v>1978</c:v>
                </c:pt>
                <c:pt idx="17">
                  <c:v>1979</c:v>
                </c:pt>
                <c:pt idx="18">
                  <c:v>1980</c:v>
                </c:pt>
                <c:pt idx="19">
                  <c:v>1981</c:v>
                </c:pt>
                <c:pt idx="20">
                  <c:v>1982</c:v>
                </c:pt>
                <c:pt idx="21">
                  <c:v>1983</c:v>
                </c:pt>
                <c:pt idx="22">
                  <c:v>1984</c:v>
                </c:pt>
                <c:pt idx="23">
                  <c:v>1985</c:v>
                </c:pt>
                <c:pt idx="24">
                  <c:v>1986</c:v>
                </c:pt>
                <c:pt idx="25">
                  <c:v>1987</c:v>
                </c:pt>
                <c:pt idx="26">
                  <c:v>1988</c:v>
                </c:pt>
                <c:pt idx="27">
                  <c:v>1989</c:v>
                </c:pt>
                <c:pt idx="28">
                  <c:v>1990</c:v>
                </c:pt>
                <c:pt idx="29">
                  <c:v>1991</c:v>
                </c:pt>
                <c:pt idx="30">
                  <c:v>1992</c:v>
                </c:pt>
                <c:pt idx="31">
                  <c:v>1993</c:v>
                </c:pt>
                <c:pt idx="32">
                  <c:v>1994</c:v>
                </c:pt>
                <c:pt idx="33">
                  <c:v>1995</c:v>
                </c:pt>
                <c:pt idx="34">
                  <c:v>1996</c:v>
                </c:pt>
                <c:pt idx="35">
                  <c:v>1997</c:v>
                </c:pt>
                <c:pt idx="36">
                  <c:v>1998</c:v>
                </c:pt>
                <c:pt idx="37">
                  <c:v>1999</c:v>
                </c:pt>
                <c:pt idx="38">
                  <c:v>2000</c:v>
                </c:pt>
                <c:pt idx="39">
                  <c:v>2001</c:v>
                </c:pt>
                <c:pt idx="40">
                  <c:v>2002</c:v>
                </c:pt>
                <c:pt idx="41">
                  <c:v>2003</c:v>
                </c:pt>
                <c:pt idx="42">
                  <c:v>2004</c:v>
                </c:pt>
                <c:pt idx="43">
                  <c:v>2005</c:v>
                </c:pt>
                <c:pt idx="44">
                  <c:v>2006</c:v>
                </c:pt>
                <c:pt idx="45">
                  <c:v>2007</c:v>
                </c:pt>
                <c:pt idx="46">
                  <c:v>2008</c:v>
                </c:pt>
                <c:pt idx="47">
                  <c:v>2009</c:v>
                </c:pt>
              </c:numCache>
            </c:numRef>
          </c:xVal>
          <c:yVal>
            <c:numRef>
              <c:f>ln13xln12!$S$13:$S$60</c:f>
              <c:numCache>
                <c:formatCode>0_)</c:formatCode>
                <c:ptCount val="48"/>
                <c:pt idx="0">
                  <c:v>-144151.86411573272</c:v>
                </c:pt>
                <c:pt idx="1">
                  <c:v>-200071.07234377263</c:v>
                </c:pt>
                <c:pt idx="2">
                  <c:v>-363060.53169599688</c:v>
                </c:pt>
                <c:pt idx="3">
                  <c:v>-257350.19583298475</c:v>
                </c:pt>
                <c:pt idx="4">
                  <c:v>-335663.39692720515</c:v>
                </c:pt>
                <c:pt idx="5">
                  <c:v>28979.489742666483</c:v>
                </c:pt>
                <c:pt idx="6">
                  <c:v>-250620.87679399154</c:v>
                </c:pt>
                <c:pt idx="7">
                  <c:v>-59165.391746501205</c:v>
                </c:pt>
                <c:pt idx="8">
                  <c:v>-307793.1053551035</c:v>
                </c:pt>
                <c:pt idx="9">
                  <c:v>506176.82973579061</c:v>
                </c:pt>
                <c:pt idx="10">
                  <c:v>28264.909271960612</c:v>
                </c:pt>
                <c:pt idx="11">
                  <c:v>-99716.802061408758</c:v>
                </c:pt>
                <c:pt idx="12">
                  <c:v>-432260.0962761949</c:v>
                </c:pt>
                <c:pt idx="13">
                  <c:v>-174522.98509359389</c:v>
                </c:pt>
                <c:pt idx="14">
                  <c:v>-16953.012995799654</c:v>
                </c:pt>
                <c:pt idx="15">
                  <c:v>560063.08130383911</c:v>
                </c:pt>
                <c:pt idx="16">
                  <c:v>-531401.49697230873</c:v>
                </c:pt>
                <c:pt idx="17">
                  <c:v>130023.25172326621</c:v>
                </c:pt>
                <c:pt idx="18">
                  <c:v>55094.591299365857</c:v>
                </c:pt>
                <c:pt idx="19">
                  <c:v>-142000.52429346542</c:v>
                </c:pt>
                <c:pt idx="20">
                  <c:v>174860.78224386205</c:v>
                </c:pt>
                <c:pt idx="21">
                  <c:v>-208944.32716221374</c:v>
                </c:pt>
                <c:pt idx="22">
                  <c:v>-188214.45567939489</c:v>
                </c:pt>
                <c:pt idx="23">
                  <c:v>-450213.56224475405</c:v>
                </c:pt>
                <c:pt idx="24">
                  <c:v>122564.35181319248</c:v>
                </c:pt>
                <c:pt idx="25">
                  <c:v>22018.923006082885</c:v>
                </c:pt>
                <c:pt idx="26">
                  <c:v>262710.07225249312</c:v>
                </c:pt>
                <c:pt idx="27">
                  <c:v>237938.93354366231</c:v>
                </c:pt>
                <c:pt idx="28">
                  <c:v>53242.248038627207</c:v>
                </c:pt>
                <c:pt idx="29">
                  <c:v>539170.92012840067</c:v>
                </c:pt>
                <c:pt idx="30">
                  <c:v>883876.514248149</c:v>
                </c:pt>
                <c:pt idx="31">
                  <c:v>19306.202941307565</c:v>
                </c:pt>
                <c:pt idx="32">
                  <c:v>71470.718207834288</c:v>
                </c:pt>
                <c:pt idx="33">
                  <c:v>-101264.1989787888</c:v>
                </c:pt>
                <c:pt idx="34">
                  <c:v>1112107.1997015807</c:v>
                </c:pt>
                <c:pt idx="35">
                  <c:v>577634.16639604967</c:v>
                </c:pt>
                <c:pt idx="36">
                  <c:v>59677.585300228093</c:v>
                </c:pt>
                <c:pt idx="37">
                  <c:v>-156401.93110661674</c:v>
                </c:pt>
                <c:pt idx="38">
                  <c:v>-142686.63917530933</c:v>
                </c:pt>
                <c:pt idx="39">
                  <c:v>361926.15971295023</c:v>
                </c:pt>
                <c:pt idx="40">
                  <c:v>912739.68740599928</c:v>
                </c:pt>
                <c:pt idx="41">
                  <c:v>-36690.423097507097</c:v>
                </c:pt>
                <c:pt idx="42">
                  <c:v>248177.5812386896</c:v>
                </c:pt>
                <c:pt idx="43">
                  <c:v>-599660.45213909924</c:v>
                </c:pt>
                <c:pt idx="44">
                  <c:v>434774.91081190342</c:v>
                </c:pt>
                <c:pt idx="45">
                  <c:v>634390.34727684571</c:v>
                </c:pt>
                <c:pt idx="46">
                  <c:v>-16515.411219874863</c:v>
                </c:pt>
                <c:pt idx="47">
                  <c:v>1875910.0948617517</c:v>
                </c:pt>
              </c:numCache>
            </c:numRef>
          </c:yVal>
          <c:smooth val="0"/>
        </c:ser>
        <c:dLbls>
          <c:showLegendKey val="0"/>
          <c:showVal val="0"/>
          <c:showCatName val="0"/>
          <c:showSerName val="0"/>
          <c:showPercent val="0"/>
          <c:showBubbleSize val="0"/>
        </c:dLbls>
        <c:axId val="367052672"/>
        <c:axId val="367064192"/>
      </c:scatterChart>
      <c:valAx>
        <c:axId val="367052672"/>
        <c:scaling>
          <c:orientation val="minMax"/>
        </c:scaling>
        <c:delete val="0"/>
        <c:axPos val="b"/>
        <c:title>
          <c:tx>
            <c:rich>
              <a:bodyPr/>
              <a:lstStyle/>
              <a:p>
                <a:pPr>
                  <a:defRPr sz="1400" b="0" i="0" u="none" strike="noStrike" baseline="0">
                    <a:solidFill>
                      <a:srgbClr val="000000"/>
                    </a:solidFill>
                    <a:latin typeface="SWISS"/>
                    <a:ea typeface="SWISS"/>
                    <a:cs typeface="SWISS"/>
                  </a:defRPr>
                </a:pPr>
                <a:r>
                  <a:rPr lang="en-US"/>
                  <a:t>Brood Yr</a:t>
                </a:r>
              </a:p>
            </c:rich>
          </c:tx>
          <c:layout>
            <c:manualLayout>
              <c:xMode val="edge"/>
              <c:yMode val="edge"/>
              <c:x val="0.50504685102767954"/>
              <c:y val="0.85565813648293965"/>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1200" b="0" i="0" u="none" strike="noStrike" baseline="0">
                <a:solidFill>
                  <a:srgbClr val="000000"/>
                </a:solidFill>
                <a:latin typeface="SWISS"/>
                <a:ea typeface="SWISS"/>
                <a:cs typeface="SWISS"/>
              </a:defRPr>
            </a:pPr>
            <a:endParaRPr lang="en-US"/>
          </a:p>
        </c:txPr>
        <c:crossAx val="367064192"/>
        <c:crosses val="autoZero"/>
        <c:crossBetween val="midCat"/>
      </c:valAx>
      <c:valAx>
        <c:axId val="367064192"/>
        <c:scaling>
          <c:orientation val="minMax"/>
        </c:scaling>
        <c:delete val="0"/>
        <c:axPos val="l"/>
        <c:title>
          <c:tx>
            <c:rich>
              <a:bodyPr/>
              <a:lstStyle/>
              <a:p>
                <a:pPr>
                  <a:defRPr sz="1400" b="0" i="0" u="none" strike="noStrike" baseline="0">
                    <a:solidFill>
                      <a:srgbClr val="000000"/>
                    </a:solidFill>
                    <a:latin typeface="SWISS"/>
                    <a:ea typeface="SWISS"/>
                    <a:cs typeface="SWISS"/>
                  </a:defRPr>
                </a:pPr>
                <a:r>
                  <a:rPr lang="en-US"/>
                  <a:t>Percent Error</a:t>
                </a:r>
              </a:p>
            </c:rich>
          </c:tx>
          <c:layout>
            <c:manualLayout>
              <c:xMode val="edge"/>
              <c:yMode val="edge"/>
              <c:x val="9.6890968339103881E-3"/>
              <c:y val="0.33310301837270589"/>
            </c:manualLayout>
          </c:layout>
          <c:overlay val="0"/>
          <c:spPr>
            <a:noFill/>
            <a:ln w="25400">
              <a:noFill/>
            </a:ln>
          </c:spPr>
        </c:title>
        <c:numFmt formatCode="0_)" sourceLinked="1"/>
        <c:majorTickMark val="in"/>
        <c:minorTickMark val="none"/>
        <c:tickLblPos val="nextTo"/>
        <c:spPr>
          <a:ln w="12700">
            <a:solidFill>
              <a:srgbClr val="000000"/>
            </a:solidFill>
            <a:prstDash val="solid"/>
          </a:ln>
        </c:spPr>
        <c:txPr>
          <a:bodyPr rot="0" vert="horz"/>
          <a:lstStyle/>
          <a:p>
            <a:pPr>
              <a:defRPr sz="1200" b="0" i="0" u="none" strike="noStrike" baseline="0">
                <a:solidFill>
                  <a:srgbClr val="000000"/>
                </a:solidFill>
                <a:latin typeface="SWISS"/>
                <a:ea typeface="SWISS"/>
                <a:cs typeface="SWISS"/>
              </a:defRPr>
            </a:pPr>
            <a:endParaRPr lang="en-US"/>
          </a:p>
        </c:txPr>
        <c:crossAx val="367052672"/>
        <c:crosses val="autoZero"/>
        <c:crossBetween val="midCat"/>
      </c:valAx>
      <c:spPr>
        <a:solidFill>
          <a:srgbClr val="FFFFFF"/>
        </a:solidFill>
        <a:ln w="25400">
          <a:noFill/>
        </a:ln>
      </c:spPr>
    </c:plotArea>
    <c:legend>
      <c:legendPos val="r"/>
      <c:layout>
        <c:manualLayout>
          <c:xMode val="edge"/>
          <c:yMode val="edge"/>
          <c:x val="0.24343984175891195"/>
          <c:y val="0.31852974628171482"/>
          <c:w val="0.17561578353430607"/>
          <c:h val="4.9965441819772534E-2"/>
        </c:manualLayout>
      </c:layout>
      <c:overlay val="0"/>
      <c:spPr>
        <a:solidFill>
          <a:srgbClr val="FFFFFF"/>
        </a:solidFill>
        <a:ln w="25400">
          <a:noFill/>
        </a:ln>
      </c:spPr>
      <c:txPr>
        <a:bodyPr/>
        <a:lstStyle/>
        <a:p>
          <a:pPr>
            <a:defRPr sz="920" b="0" i="0" u="none" strike="noStrike" baseline="0">
              <a:solidFill>
                <a:srgbClr val="000000"/>
              </a:solidFill>
              <a:latin typeface="SWISS"/>
              <a:ea typeface="SWISS"/>
              <a:cs typeface="SWISS"/>
            </a:defRPr>
          </a:pPr>
          <a:endParaRPr lang="en-US"/>
        </a:p>
      </c:txPr>
    </c:legend>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orientation="landscape"/>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90204836176306"/>
          <c:y val="5.7992733482614099E-2"/>
          <c:w val="0.8290144723319266"/>
          <c:h val="0.78959337126327622"/>
        </c:manualLayout>
      </c:layout>
      <c:scatterChart>
        <c:scatterStyle val="lineMarker"/>
        <c:varyColors val="0"/>
        <c:ser>
          <c:idx val="0"/>
          <c:order val="0"/>
          <c:spPr>
            <a:ln w="3175">
              <a:solidFill>
                <a:srgbClr val="FF0000"/>
              </a:solidFill>
              <a:prstDash val="solid"/>
            </a:ln>
          </c:spPr>
          <c:marker>
            <c:symbol val="square"/>
            <c:size val="5"/>
            <c:spPr>
              <a:solidFill>
                <a:srgbClr val="FF0000"/>
              </a:solidFill>
              <a:ln>
                <a:solidFill>
                  <a:srgbClr val="000000"/>
                </a:solidFill>
                <a:prstDash val="solid"/>
              </a:ln>
            </c:spPr>
          </c:marker>
          <c:xVal>
            <c:numRef>
              <c:f>ln13xln12!$X$13:$X$60</c:f>
              <c:numCache>
                <c:formatCode>0.0%</c:formatCode>
                <c:ptCount val="48"/>
                <c:pt idx="0">
                  <c:v>0.2570464815522191</c:v>
                </c:pt>
                <c:pt idx="1">
                  <c:v>0.40671451962063065</c:v>
                </c:pt>
                <c:pt idx="2">
                  <c:v>0.43421339512408086</c:v>
                </c:pt>
                <c:pt idx="3">
                  <c:v>0.22838048745199807</c:v>
                </c:pt>
                <c:pt idx="4">
                  <c:v>0.37860533903899041</c:v>
                </c:pt>
                <c:pt idx="5">
                  <c:v>-4.0939913862405773E-2</c:v>
                </c:pt>
                <c:pt idx="6">
                  <c:v>0.42264180034387189</c:v>
                </c:pt>
                <c:pt idx="7">
                  <c:v>9.2665084947385068E-2</c:v>
                </c:pt>
                <c:pt idx="8">
                  <c:v>0.88799962790613796</c:v>
                </c:pt>
                <c:pt idx="9">
                  <c:v>-0.53795961076110099</c:v>
                </c:pt>
                <c:pt idx="10">
                  <c:v>-3.3402620145617075E-2</c:v>
                </c:pt>
                <c:pt idx="11">
                  <c:v>0.33533473572752515</c:v>
                </c:pt>
                <c:pt idx="12">
                  <c:v>0.97634179127913667</c:v>
                </c:pt>
                <c:pt idx="13">
                  <c:v>0.42480002318309645</c:v>
                </c:pt>
                <c:pt idx="14">
                  <c:v>1.8898080438404543E-2</c:v>
                </c:pt>
                <c:pt idx="15">
                  <c:v>-0.41430179216319379</c:v>
                </c:pt>
                <c:pt idx="16">
                  <c:v>0.65034286655652906</c:v>
                </c:pt>
                <c:pt idx="17">
                  <c:v>-9.1281425443788394E-2</c:v>
                </c:pt>
                <c:pt idx="18">
                  <c:v>-5.2762143854607362E-2</c:v>
                </c:pt>
                <c:pt idx="19">
                  <c:v>0.19459914121606967</c:v>
                </c:pt>
                <c:pt idx="20">
                  <c:v>-0.12846903002745488</c:v>
                </c:pt>
                <c:pt idx="21">
                  <c:v>0.38918314372278595</c:v>
                </c:pt>
                <c:pt idx="22">
                  <c:v>0.18580932595858565</c:v>
                </c:pt>
                <c:pt idx="23">
                  <c:v>0.70189428366995532</c:v>
                </c:pt>
                <c:pt idx="24">
                  <c:v>-9.4835045567429541E-2</c:v>
                </c:pt>
                <c:pt idx="25">
                  <c:v>-2.0477096963869342E-2</c:v>
                </c:pt>
                <c:pt idx="26">
                  <c:v>-0.19752946594970525</c:v>
                </c:pt>
                <c:pt idx="27">
                  <c:v>-0.17855639192545752</c:v>
                </c:pt>
                <c:pt idx="28">
                  <c:v>-5.0213905604574657E-2</c:v>
                </c:pt>
                <c:pt idx="29">
                  <c:v>-0.27105124229374533</c:v>
                </c:pt>
                <c:pt idx="30">
                  <c:v>-0.3659565830065632</c:v>
                </c:pt>
                <c:pt idx="31">
                  <c:v>-1.7347453952349788E-2</c:v>
                </c:pt>
                <c:pt idx="32">
                  <c:v>-5.8744813231411848E-2</c:v>
                </c:pt>
                <c:pt idx="33">
                  <c:v>0.10891319155401147</c:v>
                </c:pt>
                <c:pt idx="34">
                  <c:v>-0.66551617589345602</c:v>
                </c:pt>
                <c:pt idx="35">
                  <c:v>-0.46177970130319229</c:v>
                </c:pt>
                <c:pt idx="36">
                  <c:v>-4.3245674148800546E-2</c:v>
                </c:pt>
                <c:pt idx="37">
                  <c:v>0.15699935234591553</c:v>
                </c:pt>
                <c:pt idx="38">
                  <c:v>9.9476515441523347E-2</c:v>
                </c:pt>
                <c:pt idx="39">
                  <c:v>-0.24580803036651802</c:v>
                </c:pt>
                <c:pt idx="40">
                  <c:v>-0.40002113905941833</c:v>
                </c:pt>
                <c:pt idx="41">
                  <c:v>4.6084394436184908E-2</c:v>
                </c:pt>
                <c:pt idx="42">
                  <c:v>-0.26389023310915016</c:v>
                </c:pt>
                <c:pt idx="43">
                  <c:v>0.82089652319157391</c:v>
                </c:pt>
                <c:pt idx="44">
                  <c:v>-0.23726834552013376</c:v>
                </c:pt>
                <c:pt idx="45">
                  <c:v>-0.30510066734602048</c:v>
                </c:pt>
                <c:pt idx="46">
                  <c:v>1.1173852207732232E-2</c:v>
                </c:pt>
                <c:pt idx="47">
                  <c:v>-0.99999939032446561</c:v>
                </c:pt>
              </c:numCache>
            </c:numRef>
          </c:xVal>
          <c:yVal>
            <c:numRef>
              <c:f>ln13xln12!$S$13:$S$60</c:f>
              <c:numCache>
                <c:formatCode>0_)</c:formatCode>
                <c:ptCount val="48"/>
                <c:pt idx="0">
                  <c:v>-144151.86411573272</c:v>
                </c:pt>
                <c:pt idx="1">
                  <c:v>-200071.07234377263</c:v>
                </c:pt>
                <c:pt idx="2">
                  <c:v>-363060.53169599688</c:v>
                </c:pt>
                <c:pt idx="3">
                  <c:v>-257350.19583298475</c:v>
                </c:pt>
                <c:pt idx="4">
                  <c:v>-335663.39692720515</c:v>
                </c:pt>
                <c:pt idx="5">
                  <c:v>28979.489742666483</c:v>
                </c:pt>
                <c:pt idx="6">
                  <c:v>-250620.87679399154</c:v>
                </c:pt>
                <c:pt idx="7">
                  <c:v>-59165.391746501205</c:v>
                </c:pt>
                <c:pt idx="8">
                  <c:v>-307793.1053551035</c:v>
                </c:pt>
                <c:pt idx="9">
                  <c:v>506176.82973579061</c:v>
                </c:pt>
                <c:pt idx="10">
                  <c:v>28264.909271960612</c:v>
                </c:pt>
                <c:pt idx="11">
                  <c:v>-99716.802061408758</c:v>
                </c:pt>
                <c:pt idx="12">
                  <c:v>-432260.0962761949</c:v>
                </c:pt>
                <c:pt idx="13">
                  <c:v>-174522.98509359389</c:v>
                </c:pt>
                <c:pt idx="14">
                  <c:v>-16953.012995799654</c:v>
                </c:pt>
                <c:pt idx="15">
                  <c:v>560063.08130383911</c:v>
                </c:pt>
                <c:pt idx="16">
                  <c:v>-531401.49697230873</c:v>
                </c:pt>
                <c:pt idx="17">
                  <c:v>130023.25172326621</c:v>
                </c:pt>
                <c:pt idx="18">
                  <c:v>55094.591299365857</c:v>
                </c:pt>
                <c:pt idx="19">
                  <c:v>-142000.52429346542</c:v>
                </c:pt>
                <c:pt idx="20">
                  <c:v>174860.78224386205</c:v>
                </c:pt>
                <c:pt idx="21">
                  <c:v>-208944.32716221374</c:v>
                </c:pt>
                <c:pt idx="22">
                  <c:v>-188214.45567939489</c:v>
                </c:pt>
                <c:pt idx="23">
                  <c:v>-450213.56224475405</c:v>
                </c:pt>
                <c:pt idx="24">
                  <c:v>122564.35181319248</c:v>
                </c:pt>
                <c:pt idx="25">
                  <c:v>22018.923006082885</c:v>
                </c:pt>
                <c:pt idx="26">
                  <c:v>262710.07225249312</c:v>
                </c:pt>
                <c:pt idx="27">
                  <c:v>237938.93354366231</c:v>
                </c:pt>
                <c:pt idx="28">
                  <c:v>53242.248038627207</c:v>
                </c:pt>
                <c:pt idx="29">
                  <c:v>539170.92012840067</c:v>
                </c:pt>
                <c:pt idx="30">
                  <c:v>883876.514248149</c:v>
                </c:pt>
                <c:pt idx="31">
                  <c:v>19306.202941307565</c:v>
                </c:pt>
                <c:pt idx="32">
                  <c:v>71470.718207834288</c:v>
                </c:pt>
                <c:pt idx="33">
                  <c:v>-101264.1989787888</c:v>
                </c:pt>
                <c:pt idx="34">
                  <c:v>1112107.1997015807</c:v>
                </c:pt>
                <c:pt idx="35">
                  <c:v>577634.16639604967</c:v>
                </c:pt>
                <c:pt idx="36">
                  <c:v>59677.585300228093</c:v>
                </c:pt>
                <c:pt idx="37">
                  <c:v>-156401.93110661674</c:v>
                </c:pt>
                <c:pt idx="38">
                  <c:v>-142686.63917530933</c:v>
                </c:pt>
                <c:pt idx="39">
                  <c:v>361926.15971295023</c:v>
                </c:pt>
                <c:pt idx="40">
                  <c:v>912739.68740599928</c:v>
                </c:pt>
                <c:pt idx="41">
                  <c:v>-36690.423097507097</c:v>
                </c:pt>
                <c:pt idx="42">
                  <c:v>248177.5812386896</c:v>
                </c:pt>
                <c:pt idx="43">
                  <c:v>-599660.45213909924</c:v>
                </c:pt>
                <c:pt idx="44">
                  <c:v>434774.91081190342</c:v>
                </c:pt>
                <c:pt idx="45">
                  <c:v>634390.34727684571</c:v>
                </c:pt>
                <c:pt idx="46">
                  <c:v>-16515.411219874863</c:v>
                </c:pt>
                <c:pt idx="47">
                  <c:v>1875910.0948617517</c:v>
                </c:pt>
              </c:numCache>
            </c:numRef>
          </c:yVal>
          <c:smooth val="0"/>
        </c:ser>
        <c:dLbls>
          <c:showLegendKey val="0"/>
          <c:showVal val="0"/>
          <c:showCatName val="0"/>
          <c:showSerName val="0"/>
          <c:showPercent val="0"/>
          <c:showBubbleSize val="0"/>
        </c:dLbls>
        <c:axId val="366883968"/>
        <c:axId val="366887296"/>
      </c:scatterChart>
      <c:valAx>
        <c:axId val="366883968"/>
        <c:scaling>
          <c:orientation val="minMax"/>
        </c:scaling>
        <c:delete val="0"/>
        <c:axPos val="b"/>
        <c:title>
          <c:tx>
            <c:rich>
              <a:bodyPr/>
              <a:lstStyle/>
              <a:p>
                <a:pPr>
                  <a:defRPr sz="1000" b="0" i="0" u="none" strike="noStrike" baseline="0">
                    <a:solidFill>
                      <a:srgbClr val="000000"/>
                    </a:solidFill>
                    <a:latin typeface="SWISS"/>
                    <a:ea typeface="SWISS"/>
                    <a:cs typeface="SWISS"/>
                  </a:defRPr>
                </a:pPr>
                <a:r>
                  <a:rPr lang="en-US"/>
                  <a:t>%Err - Transformed</a:t>
                </a:r>
              </a:p>
            </c:rich>
          </c:tx>
          <c:layout>
            <c:manualLayout>
              <c:xMode val="edge"/>
              <c:yMode val="edge"/>
              <c:x val="0.42360818759041546"/>
              <c:y val="0.91450075451977964"/>
            </c:manualLayout>
          </c:layout>
          <c:overlay val="0"/>
          <c:spPr>
            <a:noFill/>
            <a:ln w="25400">
              <a:noFill/>
            </a:ln>
          </c:spPr>
        </c:title>
        <c:numFmt formatCode="0.0%"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SWISS"/>
                <a:ea typeface="SWISS"/>
                <a:cs typeface="SWISS"/>
              </a:defRPr>
            </a:pPr>
            <a:endParaRPr lang="en-US"/>
          </a:p>
        </c:txPr>
        <c:crossAx val="366887296"/>
        <c:crosses val="autoZero"/>
        <c:crossBetween val="midCat"/>
      </c:valAx>
      <c:valAx>
        <c:axId val="366887296"/>
        <c:scaling>
          <c:orientation val="minMax"/>
        </c:scaling>
        <c:delete val="0"/>
        <c:axPos val="l"/>
        <c:title>
          <c:tx>
            <c:rich>
              <a:bodyPr/>
              <a:lstStyle/>
              <a:p>
                <a:pPr>
                  <a:defRPr sz="1000" b="0" i="0" u="none" strike="noStrike" baseline="0">
                    <a:solidFill>
                      <a:srgbClr val="000000"/>
                    </a:solidFill>
                    <a:latin typeface="SWISS"/>
                    <a:ea typeface="SWISS"/>
                    <a:cs typeface="SWISS"/>
                  </a:defRPr>
                </a:pPr>
                <a:r>
                  <a:rPr lang="en-US"/>
                  <a:t>%Err-Nontransformed</a:t>
                </a:r>
              </a:p>
            </c:rich>
          </c:tx>
          <c:layout>
            <c:manualLayout>
              <c:xMode val="edge"/>
              <c:yMode val="edge"/>
              <c:x val="2.6475576691527686E-2"/>
              <c:y val="0.31003799021766942"/>
            </c:manualLayout>
          </c:layout>
          <c:overlay val="0"/>
          <c:spPr>
            <a:noFill/>
            <a:ln w="25400">
              <a:noFill/>
            </a:ln>
          </c:spPr>
        </c:title>
        <c:numFmt formatCode="0_)"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SWISS"/>
                <a:ea typeface="SWISS"/>
                <a:cs typeface="SWISS"/>
              </a:defRPr>
            </a:pPr>
            <a:endParaRPr lang="en-US"/>
          </a:p>
        </c:txPr>
        <c:crossAx val="366883968"/>
        <c:crosses val="autoZero"/>
        <c:crossBetween val="midCat"/>
      </c:valAx>
      <c:spPr>
        <a:solidFill>
          <a:srgbClr val="FFFFFF"/>
        </a:solidFill>
        <a:ln w="12700">
          <a:solidFill>
            <a:srgbClr val="000000"/>
          </a:solidFill>
          <a:prstDash val="solid"/>
        </a:ln>
      </c:spPr>
    </c:plotArea>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SIBLING LN 1.3 FROM LN 0.3</a:t>
            </a:r>
          </a:p>
        </c:rich>
      </c:tx>
      <c:layout>
        <c:manualLayout>
          <c:xMode val="edge"/>
          <c:yMode val="edge"/>
          <c:x val="0.37944657706223478"/>
          <c:y val="2.8535273395008141E-2"/>
        </c:manualLayout>
      </c:layout>
      <c:overlay val="0"/>
      <c:spPr>
        <a:solidFill>
          <a:srgbClr val="FFFFFF"/>
        </a:solidFill>
        <a:ln w="12700">
          <a:solidFill>
            <a:srgbClr val="000000"/>
          </a:solidFill>
          <a:prstDash val="solid"/>
        </a:ln>
        <a:effectLst>
          <a:outerShdw dist="35921" dir="2700000" algn="br">
            <a:srgbClr val="000000"/>
          </a:outerShdw>
        </a:effectLst>
      </c:spPr>
    </c:title>
    <c:autoTitleDeleted val="0"/>
    <c:plotArea>
      <c:layout>
        <c:manualLayout>
          <c:layoutTarget val="inner"/>
          <c:xMode val="edge"/>
          <c:yMode val="edge"/>
          <c:x val="0.11725955204216074"/>
          <c:y val="0.15218788664677624"/>
          <c:w val="0.84716732542819495"/>
          <c:h val="0.64870086683189243"/>
        </c:manualLayout>
      </c:layout>
      <c:scatterChart>
        <c:scatterStyle val="lineMarker"/>
        <c:varyColors val="0"/>
        <c:ser>
          <c:idx val="0"/>
          <c:order val="0"/>
          <c:tx>
            <c:v>ACTUAL</c:v>
          </c:tx>
          <c:spPr>
            <a:ln w="3175">
              <a:solidFill>
                <a:srgbClr val="00FF00"/>
              </a:solidFill>
              <a:prstDash val="solid"/>
            </a:ln>
          </c:spPr>
          <c:marker>
            <c:symbol val="diamond"/>
            <c:size val="5"/>
            <c:spPr>
              <a:solidFill>
                <a:srgbClr val="00FF00"/>
              </a:solidFill>
              <a:ln>
                <a:solidFill>
                  <a:srgbClr val="000000"/>
                </a:solidFill>
                <a:prstDash val="solid"/>
              </a:ln>
            </c:spPr>
          </c:marker>
          <c:dLbls>
            <c:dLbl>
              <c:idx val="0"/>
              <c:tx>
                <c:strRef>
                  <c:f>ln13xln03!$AC$13</c:f>
                  <c:strCache>
                    <c:ptCount val="1"/>
                    <c:pt idx="0">
                      <c:v>67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1"/>
              <c:tx>
                <c:strRef>
                  <c:f>ln13xln03!$AC$14</c:f>
                  <c:strCache>
                    <c:ptCount val="1"/>
                    <c:pt idx="0">
                      <c:v>68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2"/>
              <c:tx>
                <c:strRef>
                  <c:f>ln13xln03!$AC$15</c:f>
                  <c:strCache>
                    <c:ptCount val="1"/>
                    <c:pt idx="0">
                      <c:v>69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3"/>
              <c:tx>
                <c:strRef>
                  <c:f>ln13xln03!$AC$16</c:f>
                  <c:strCache>
                    <c:ptCount val="1"/>
                    <c:pt idx="0">
                      <c:v>70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4"/>
              <c:tx>
                <c:strRef>
                  <c:f>ln13xln03!$AC$17</c:f>
                  <c:strCache>
                    <c:ptCount val="1"/>
                    <c:pt idx="0">
                      <c:v>71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5"/>
              <c:tx>
                <c:strRef>
                  <c:f>ln13xln03!$AC$18</c:f>
                  <c:strCache>
                    <c:ptCount val="1"/>
                    <c:pt idx="0">
                      <c:v>72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6"/>
              <c:tx>
                <c:strRef>
                  <c:f>ln13xln03!$AC$19</c:f>
                  <c:strCache>
                    <c:ptCount val="1"/>
                    <c:pt idx="0">
                      <c:v>73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7"/>
              <c:tx>
                <c:strRef>
                  <c:f>ln13xln03!$AC$20</c:f>
                  <c:strCache>
                    <c:ptCount val="1"/>
                    <c:pt idx="0">
                      <c:v>74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8"/>
              <c:tx>
                <c:strRef>
                  <c:f>ln13xln03!$AC$21</c:f>
                  <c:strCache>
                    <c:ptCount val="1"/>
                    <c:pt idx="0">
                      <c:v>75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9"/>
              <c:tx>
                <c:strRef>
                  <c:f>ln13xln03!$AC$22</c:f>
                  <c:strCache>
                    <c:ptCount val="1"/>
                    <c:pt idx="0">
                      <c:v>76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10"/>
              <c:tx>
                <c:strRef>
                  <c:f>ln13xln03!$AC$23</c:f>
                  <c:strCache>
                    <c:ptCount val="1"/>
                    <c:pt idx="0">
                      <c:v>77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11"/>
              <c:tx>
                <c:strRef>
                  <c:f>ln13xln03!$AC$24</c:f>
                  <c:strCache>
                    <c:ptCount val="1"/>
                    <c:pt idx="0">
                      <c:v>78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12"/>
              <c:tx>
                <c:strRef>
                  <c:f>ln13xln03!$AC$25</c:f>
                  <c:strCache>
                    <c:ptCount val="1"/>
                    <c:pt idx="0">
                      <c:v>79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13"/>
              <c:tx>
                <c:strRef>
                  <c:f>ln13xln03!$AC$26</c:f>
                  <c:strCache>
                    <c:ptCount val="1"/>
                    <c:pt idx="0">
                      <c:v>80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14"/>
              <c:tx>
                <c:strRef>
                  <c:f>ln13xln03!$AC$27</c:f>
                  <c:strCache>
                    <c:ptCount val="1"/>
                    <c:pt idx="0">
                      <c:v>81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15"/>
              <c:tx>
                <c:strRef>
                  <c:f>ln13xln03!$AC$28</c:f>
                  <c:strCache>
                    <c:ptCount val="1"/>
                    <c:pt idx="0">
                      <c:v>82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6"/>
              <c:tx>
                <c:strRef>
                  <c:f>ln13xln03!$AC$29</c:f>
                  <c:strCache>
                    <c:ptCount val="1"/>
                    <c:pt idx="0">
                      <c:v>83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17"/>
              <c:tx>
                <c:strRef>
                  <c:f>ln13xln03!$AC$30</c:f>
                  <c:strCache>
                    <c:ptCount val="1"/>
                    <c:pt idx="0">
                      <c:v>84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18"/>
              <c:tx>
                <c:strRef>
                  <c:f>ln13xln03!$AC$31</c:f>
                  <c:strCache>
                    <c:ptCount val="1"/>
                    <c:pt idx="0">
                      <c:v>85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19"/>
              <c:tx>
                <c:strRef>
                  <c:f>ln13xln03!$AC$32</c:f>
                  <c:strCache>
                    <c:ptCount val="1"/>
                    <c:pt idx="0">
                      <c:v>86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20"/>
              <c:tx>
                <c:strRef>
                  <c:f>ln13xln03!$AC$33</c:f>
                  <c:strCache>
                    <c:ptCount val="1"/>
                    <c:pt idx="0">
                      <c:v>87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21"/>
              <c:tx>
                <c:strRef>
                  <c:f>ln13xln03!$AC$34</c:f>
                  <c:strCache>
                    <c:ptCount val="1"/>
                    <c:pt idx="0">
                      <c:v>88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2"/>
              <c:tx>
                <c:strRef>
                  <c:f>ln13xln03!$AC$35</c:f>
                  <c:strCache>
                    <c:ptCount val="1"/>
                    <c:pt idx="0">
                      <c:v>89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23"/>
              <c:tx>
                <c:strRef>
                  <c:f>ln13xln03!$AC$36</c:f>
                  <c:strCache>
                    <c:ptCount val="1"/>
                    <c:pt idx="0">
                      <c:v>90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4"/>
              <c:tx>
                <c:strRef>
                  <c:f>ln13xln03!$AC$37</c:f>
                  <c:strCache>
                    <c:ptCount val="1"/>
                    <c:pt idx="0">
                      <c:v>91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25"/>
              <c:tx>
                <c:strRef>
                  <c:f>ln13xln03!$AC$38</c:f>
                  <c:strCache>
                    <c:ptCount val="1"/>
                    <c:pt idx="0">
                      <c:v>92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26"/>
              <c:tx>
                <c:strRef>
                  <c:f>ln13xln03!$AC$39</c:f>
                  <c:strCache>
                    <c:ptCount val="1"/>
                    <c:pt idx="0">
                      <c:v>93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27"/>
              <c:tx>
                <c:strRef>
                  <c:f>ln13xln03!$AC$40</c:f>
                  <c:strCache>
                    <c:ptCount val="1"/>
                    <c:pt idx="0">
                      <c:v>94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28"/>
              <c:tx>
                <c:strRef>
                  <c:f>ln13xln03!$AC$41</c:f>
                  <c:strCache>
                    <c:ptCount val="1"/>
                    <c:pt idx="0">
                      <c:v>95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29"/>
              <c:tx>
                <c:strRef>
                  <c:f>ln13xln03!$AC$42</c:f>
                  <c:strCache>
                    <c:ptCount val="1"/>
                    <c:pt idx="0">
                      <c:v>96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dLblPos val="r"/>
              <c:showLegendKey val="0"/>
              <c:showVal val="0"/>
              <c:showCatName val="0"/>
              <c:showSerName val="0"/>
              <c:showPercent val="0"/>
              <c:showBubbleSize val="0"/>
            </c:dLbl>
            <c:dLbl>
              <c:idx val="30"/>
              <c:tx>
                <c:strRef>
                  <c:f>ln13xln03!$AC$43</c:f>
                  <c:strCache>
                    <c:ptCount val="1"/>
                    <c:pt idx="0">
                      <c:v>97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31"/>
              <c:tx>
                <c:strRef>
                  <c:f>ln13xln03!$AC$60</c:f>
                  <c:strCache>
                    <c:ptCount val="1"/>
                    <c:pt idx="0">
                      <c:v>09</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showLegendKey val="0"/>
            <c:showVal val="0"/>
            <c:showCatName val="0"/>
            <c:showSerName val="0"/>
            <c:showPercent val="0"/>
            <c:showBubbleSize val="0"/>
          </c:dLbls>
          <c:xVal>
            <c:numRef>
              <c:f>ln13xln03!$Z$13:$Z$62</c:f>
              <c:numCache>
                <c:formatCode>General</c:formatCode>
                <c:ptCount val="50"/>
                <c:pt idx="0">
                  <c:v>10.772558121886703</c:v>
                </c:pt>
                <c:pt idx="1">
                  <c:v>8.3513880672186342</c:v>
                </c:pt>
                <c:pt idx="2">
                  <c:v>8.7579462835897282</c:v>
                </c:pt>
                <c:pt idx="3">
                  <c:v>5.9381241906021609</c:v>
                </c:pt>
                <c:pt idx="4">
                  <c:v>8.3390313888342202</c:v>
                </c:pt>
                <c:pt idx="5">
                  <c:v>7.7507051389466728</c:v>
                </c:pt>
                <c:pt idx="6">
                  <c:v>9.7741257277297162</c:v>
                </c:pt>
                <c:pt idx="7">
                  <c:v>10.145609862448119</c:v>
                </c:pt>
                <c:pt idx="8">
                  <c:v>8.8651800515007348</c:v>
                </c:pt>
                <c:pt idx="9">
                  <c:v>8.0935587151970356</c:v>
                </c:pt>
                <c:pt idx="10">
                  <c:v>9.4293031174291908</c:v>
                </c:pt>
                <c:pt idx="11">
                  <c:v>10.217352589747847</c:v>
                </c:pt>
                <c:pt idx="12">
                  <c:v>8.8781335483064883</c:v>
                </c:pt>
                <c:pt idx="13">
                  <c:v>9.2582345420544776</c:v>
                </c:pt>
                <c:pt idx="14">
                  <c:v>8.586839002480172</c:v>
                </c:pt>
                <c:pt idx="15">
                  <c:v>12.238417612427757</c:v>
                </c:pt>
                <c:pt idx="16">
                  <c:v>10.808748399681072</c:v>
                </c:pt>
                <c:pt idx="17">
                  <c:v>11.306855279311714</c:v>
                </c:pt>
                <c:pt idx="18">
                  <c:v>9.7455515916903028</c:v>
                </c:pt>
                <c:pt idx="19">
                  <c:v>11.677699198282076</c:v>
                </c:pt>
                <c:pt idx="20">
                  <c:v>11.778844272462115</c:v>
                </c:pt>
                <c:pt idx="21">
                  <c:v>11.710656075118306</c:v>
                </c:pt>
                <c:pt idx="22">
                  <c:v>11.469223264682705</c:v>
                </c:pt>
                <c:pt idx="23">
                  <c:v>10.947528823911643</c:v>
                </c:pt>
                <c:pt idx="24">
                  <c:v>12.368367898989618</c:v>
                </c:pt>
                <c:pt idx="25">
                  <c:v>11.980728768239114</c:v>
                </c:pt>
                <c:pt idx="26">
                  <c:v>11.393794873387254</c:v>
                </c:pt>
                <c:pt idx="27" formatCode="0.0000_)">
                  <c:v>12.390944748030137</c:v>
                </c:pt>
                <c:pt idx="28" formatCode="0.0000_)">
                  <c:v>12.077595776693562</c:v>
                </c:pt>
                <c:pt idx="29" formatCode="0.0000_)">
                  <c:v>11.444517861693397</c:v>
                </c:pt>
                <c:pt idx="30" formatCode="0.0000_)">
                  <c:v>11.63141771270136</c:v>
                </c:pt>
                <c:pt idx="31" formatCode="0.0000_)">
                  <c:v>13.595628383617642</c:v>
                </c:pt>
                <c:pt idx="32" formatCode="0.0000_)">
                  <c:v>11.632204798551918</c:v>
                </c:pt>
                <c:pt idx="33" formatCode="0.0000_)">
                  <c:v>11.530092281583716</c:v>
                </c:pt>
                <c:pt idx="34" formatCode="0.0000_)">
                  <c:v>11.098819997280653</c:v>
                </c:pt>
                <c:pt idx="35" formatCode="0.0000_)">
                  <c:v>11.988035255548843</c:v>
                </c:pt>
                <c:pt idx="36" formatCode="0.0000_)">
                  <c:v>10.947893925516528</c:v>
                </c:pt>
                <c:pt idx="37" formatCode="0.0000_)">
                  <c:v>11.171887521512488</c:v>
                </c:pt>
                <c:pt idx="38" formatCode="0.0000_)">
                  <c:v>11.489160711917497</c:v>
                </c:pt>
                <c:pt idx="39" formatCode="0.0000_)">
                  <c:v>11.792349508205923</c:v>
                </c:pt>
                <c:pt idx="40" formatCode="0.0000_)">
                  <c:v>11.090258885682895</c:v>
                </c:pt>
                <c:pt idx="41" formatCode="0.0000_)">
                  <c:v>11.377305266840285</c:v>
                </c:pt>
                <c:pt idx="42" formatCode="0.0000_)">
                  <c:v>9.6464942455516205</c:v>
                </c:pt>
                <c:pt idx="43" formatCode="0.0000_)">
                  <c:v>10.693310040674076</c:v>
                </c:pt>
                <c:pt idx="44" formatCode="0.0000_)">
                  <c:v>9.8704379869059142</c:v>
                </c:pt>
                <c:pt idx="45" formatCode="0.0000_)">
                  <c:v>11.385840386620675</c:v>
                </c:pt>
                <c:pt idx="46" formatCode="0.0000_)">
                  <c:v>11.100218577949152</c:v>
                </c:pt>
                <c:pt idx="47" formatCode="0.0000_)">
                  <c:v>9.9927829021427534</c:v>
                </c:pt>
                <c:pt idx="49" formatCode="0.0000_)">
                  <c:v>9.5093676168778956</c:v>
                </c:pt>
              </c:numCache>
            </c:numRef>
          </c:xVal>
          <c:yVal>
            <c:numRef>
              <c:f>ln13xln03!$AB$13:$AB$60</c:f>
              <c:numCache>
                <c:formatCode>General</c:formatCode>
                <c:ptCount val="48"/>
                <c:pt idx="0">
                  <c:v>13.237120983130074</c:v>
                </c:pt>
                <c:pt idx="1">
                  <c:v>13.106071709770401</c:v>
                </c:pt>
                <c:pt idx="2">
                  <c:v>13.636544025217798</c:v>
                </c:pt>
                <c:pt idx="3">
                  <c:v>13.934935302361204</c:v>
                </c:pt>
                <c:pt idx="4">
                  <c:v>13.695125080202772</c:v>
                </c:pt>
                <c:pt idx="5">
                  <c:v>13.469993411243443</c:v>
                </c:pt>
                <c:pt idx="6">
                  <c:v>13.292926891590582</c:v>
                </c:pt>
                <c:pt idx="7">
                  <c:v>13.366855574069275</c:v>
                </c:pt>
                <c:pt idx="8">
                  <c:v>12.755967055394713</c:v>
                </c:pt>
                <c:pt idx="9">
                  <c:v>13.754613147674856</c:v>
                </c:pt>
                <c:pt idx="10">
                  <c:v>13.648497293799361</c:v>
                </c:pt>
                <c:pt idx="11">
                  <c:v>12.602715502852924</c:v>
                </c:pt>
                <c:pt idx="12">
                  <c:v>13.000725318656022</c:v>
                </c:pt>
                <c:pt idx="13">
                  <c:v>12.925948486164664</c:v>
                </c:pt>
                <c:pt idx="14">
                  <c:v>13.706895781055929</c:v>
                </c:pt>
                <c:pt idx="15">
                  <c:v>14.11696530569891</c:v>
                </c:pt>
                <c:pt idx="16">
                  <c:v>13.613528697493491</c:v>
                </c:pt>
                <c:pt idx="17">
                  <c:v>14.169276530236562</c:v>
                </c:pt>
                <c:pt idx="18">
                  <c:v>13.858768146655043</c:v>
                </c:pt>
                <c:pt idx="19">
                  <c:v>13.500399551096667</c:v>
                </c:pt>
                <c:pt idx="20">
                  <c:v>14.123812821422923</c:v>
                </c:pt>
                <c:pt idx="21">
                  <c:v>13.193528357920927</c:v>
                </c:pt>
                <c:pt idx="22">
                  <c:v>13.828371573710584</c:v>
                </c:pt>
                <c:pt idx="23">
                  <c:v>13.37144981129318</c:v>
                </c:pt>
                <c:pt idx="24">
                  <c:v>14.072007751012482</c:v>
                </c:pt>
                <c:pt idx="25">
                  <c:v>13.888105737944398</c:v>
                </c:pt>
                <c:pt idx="26">
                  <c:v>14.100673827299241</c:v>
                </c:pt>
                <c:pt idx="27">
                  <c:v>14.102620144485565</c:v>
                </c:pt>
                <c:pt idx="28">
                  <c:v>13.874070782802761</c:v>
                </c:pt>
                <c:pt idx="29">
                  <c:v>14.50323529563542</c:v>
                </c:pt>
                <c:pt idx="30">
                  <c:v>14.697313220380199</c:v>
                </c:pt>
                <c:pt idx="31">
                  <c:v>13.922491248798858</c:v>
                </c:pt>
                <c:pt idx="32">
                  <c:v>14.011595524522779</c:v>
                </c:pt>
                <c:pt idx="33">
                  <c:v>13.74269233377956</c:v>
                </c:pt>
                <c:pt idx="34">
                  <c:v>14.32895948682159</c:v>
                </c:pt>
                <c:pt idx="35">
                  <c:v>14.039363355788447</c:v>
                </c:pt>
                <c:pt idx="36">
                  <c:v>14.137569843559483</c:v>
                </c:pt>
                <c:pt idx="37">
                  <c:v>13.811698053073718</c:v>
                </c:pt>
                <c:pt idx="38">
                  <c:v>14.176239858706381</c:v>
                </c:pt>
                <c:pt idx="39">
                  <c:v>14.202399903364208</c:v>
                </c:pt>
                <c:pt idx="40">
                  <c:v>14.640443886698622</c:v>
                </c:pt>
                <c:pt idx="41">
                  <c:v>13.587551950740307</c:v>
                </c:pt>
                <c:pt idx="42">
                  <c:v>13.754121868260308</c:v>
                </c:pt>
                <c:pt idx="43">
                  <c:v>13.501477075906118</c:v>
                </c:pt>
                <c:pt idx="44">
                  <c:v>14.421147248530623</c:v>
                </c:pt>
                <c:pt idx="45">
                  <c:v>14.547533233630642</c:v>
                </c:pt>
                <c:pt idx="46">
                  <c:v>14.206228091770475</c:v>
                </c:pt>
                <c:pt idx="47">
                  <c:v>14.444629537743996</c:v>
                </c:pt>
              </c:numCache>
            </c:numRef>
          </c:yVal>
          <c:smooth val="0"/>
        </c:ser>
        <c:ser>
          <c:idx val="1"/>
          <c:order val="1"/>
          <c:spPr>
            <a:ln w="3175">
              <a:solidFill>
                <a:srgbClr val="0000FF"/>
              </a:solidFill>
              <a:prstDash val="solid"/>
            </a:ln>
          </c:spPr>
          <c:marker>
            <c:symbol val="none"/>
          </c:marker>
          <c:xVal>
            <c:numRef>
              <c:f>ln13xln03!$Z$13:$Z$62</c:f>
              <c:numCache>
                <c:formatCode>General</c:formatCode>
                <c:ptCount val="50"/>
                <c:pt idx="0">
                  <c:v>10.772558121886703</c:v>
                </c:pt>
                <c:pt idx="1">
                  <c:v>8.3513880672186342</c:v>
                </c:pt>
                <c:pt idx="2">
                  <c:v>8.7579462835897282</c:v>
                </c:pt>
                <c:pt idx="3">
                  <c:v>5.9381241906021609</c:v>
                </c:pt>
                <c:pt idx="4">
                  <c:v>8.3390313888342202</c:v>
                </c:pt>
                <c:pt idx="5">
                  <c:v>7.7507051389466728</c:v>
                </c:pt>
                <c:pt idx="6">
                  <c:v>9.7741257277297162</c:v>
                </c:pt>
                <c:pt idx="7">
                  <c:v>10.145609862448119</c:v>
                </c:pt>
                <c:pt idx="8">
                  <c:v>8.8651800515007348</c:v>
                </c:pt>
                <c:pt idx="9">
                  <c:v>8.0935587151970356</c:v>
                </c:pt>
                <c:pt idx="10">
                  <c:v>9.4293031174291908</c:v>
                </c:pt>
                <c:pt idx="11">
                  <c:v>10.217352589747847</c:v>
                </c:pt>
                <c:pt idx="12">
                  <c:v>8.8781335483064883</c:v>
                </c:pt>
                <c:pt idx="13">
                  <c:v>9.2582345420544776</c:v>
                </c:pt>
                <c:pt idx="14">
                  <c:v>8.586839002480172</c:v>
                </c:pt>
                <c:pt idx="15">
                  <c:v>12.238417612427757</c:v>
                </c:pt>
                <c:pt idx="16">
                  <c:v>10.808748399681072</c:v>
                </c:pt>
                <c:pt idx="17">
                  <c:v>11.306855279311714</c:v>
                </c:pt>
                <c:pt idx="18">
                  <c:v>9.7455515916903028</c:v>
                </c:pt>
                <c:pt idx="19">
                  <c:v>11.677699198282076</c:v>
                </c:pt>
                <c:pt idx="20">
                  <c:v>11.778844272462115</c:v>
                </c:pt>
                <c:pt idx="21">
                  <c:v>11.710656075118306</c:v>
                </c:pt>
                <c:pt idx="22">
                  <c:v>11.469223264682705</c:v>
                </c:pt>
                <c:pt idx="23">
                  <c:v>10.947528823911643</c:v>
                </c:pt>
                <c:pt idx="24">
                  <c:v>12.368367898989618</c:v>
                </c:pt>
                <c:pt idx="25">
                  <c:v>11.980728768239114</c:v>
                </c:pt>
                <c:pt idx="26">
                  <c:v>11.393794873387254</c:v>
                </c:pt>
                <c:pt idx="27" formatCode="0.0000_)">
                  <c:v>12.390944748030137</c:v>
                </c:pt>
                <c:pt idx="28" formatCode="0.0000_)">
                  <c:v>12.077595776693562</c:v>
                </c:pt>
                <c:pt idx="29" formatCode="0.0000_)">
                  <c:v>11.444517861693397</c:v>
                </c:pt>
                <c:pt idx="30" formatCode="0.0000_)">
                  <c:v>11.63141771270136</c:v>
                </c:pt>
                <c:pt idx="31" formatCode="0.0000_)">
                  <c:v>13.595628383617642</c:v>
                </c:pt>
                <c:pt idx="32" formatCode="0.0000_)">
                  <c:v>11.632204798551918</c:v>
                </c:pt>
                <c:pt idx="33" formatCode="0.0000_)">
                  <c:v>11.530092281583716</c:v>
                </c:pt>
                <c:pt idx="34" formatCode="0.0000_)">
                  <c:v>11.098819997280653</c:v>
                </c:pt>
                <c:pt idx="35" formatCode="0.0000_)">
                  <c:v>11.988035255548843</c:v>
                </c:pt>
                <c:pt idx="36" formatCode="0.0000_)">
                  <c:v>10.947893925516528</c:v>
                </c:pt>
                <c:pt idx="37" formatCode="0.0000_)">
                  <c:v>11.171887521512488</c:v>
                </c:pt>
                <c:pt idx="38" formatCode="0.0000_)">
                  <c:v>11.489160711917497</c:v>
                </c:pt>
                <c:pt idx="39" formatCode="0.0000_)">
                  <c:v>11.792349508205923</c:v>
                </c:pt>
                <c:pt idx="40" formatCode="0.0000_)">
                  <c:v>11.090258885682895</c:v>
                </c:pt>
                <c:pt idx="41" formatCode="0.0000_)">
                  <c:v>11.377305266840285</c:v>
                </c:pt>
                <c:pt idx="42" formatCode="0.0000_)">
                  <c:v>9.6464942455516205</c:v>
                </c:pt>
                <c:pt idx="43" formatCode="0.0000_)">
                  <c:v>10.693310040674076</c:v>
                </c:pt>
                <c:pt idx="44" formatCode="0.0000_)">
                  <c:v>9.8704379869059142</c:v>
                </c:pt>
                <c:pt idx="45" formatCode="0.0000_)">
                  <c:v>11.385840386620675</c:v>
                </c:pt>
                <c:pt idx="46" formatCode="0.0000_)">
                  <c:v>11.100218577949152</c:v>
                </c:pt>
                <c:pt idx="47" formatCode="0.0000_)">
                  <c:v>9.9927829021427534</c:v>
                </c:pt>
                <c:pt idx="49" formatCode="0.0000_)">
                  <c:v>9.5093676168778956</c:v>
                </c:pt>
              </c:numCache>
            </c:numRef>
          </c:xVal>
          <c:yVal>
            <c:numRef>
              <c:f>ln13xln03!$AD$13:$AD$60</c:f>
              <c:numCache>
                <c:formatCode>General</c:formatCode>
                <c:ptCount val="48"/>
                <c:pt idx="0">
                  <c:v>13.232903985082961</c:v>
                </c:pt>
                <c:pt idx="1">
                  <c:v>12.921433329567233</c:v>
                </c:pt>
                <c:pt idx="2">
                  <c:v>12.973734882658995</c:v>
                </c:pt>
                <c:pt idx="3">
                  <c:v>12.610979761825082</c:v>
                </c:pt>
                <c:pt idx="4">
                  <c:v>12.919843708586678</c:v>
                </c:pt>
                <c:pt idx="5">
                  <c:v>12.844158664342768</c:v>
                </c:pt>
                <c:pt idx="6">
                  <c:v>13.104460965685528</c:v>
                </c:pt>
                <c:pt idx="7">
                  <c:v>13.152250424642096</c:v>
                </c:pt>
                <c:pt idx="8">
                  <c:v>12.987529936798323</c:v>
                </c:pt>
                <c:pt idx="9">
                  <c:v>12.88826495416521</c:v>
                </c:pt>
                <c:pt idx="10">
                  <c:v>13.06010137010079</c:v>
                </c:pt>
                <c:pt idx="11">
                  <c:v>13.161479745092945</c:v>
                </c:pt>
                <c:pt idx="12">
                  <c:v>12.98919633529583</c:v>
                </c:pt>
                <c:pt idx="13">
                  <c:v>13.038094307355498</c:v>
                </c:pt>
                <c:pt idx="14">
                  <c:v>12.951722840626692</c:v>
                </c:pt>
                <c:pt idx="15">
                  <c:v>13.421479015379775</c:v>
                </c:pt>
                <c:pt idx="16">
                  <c:v>13.237559671917586</c:v>
                </c:pt>
                <c:pt idx="17">
                  <c:v>13.301638473824262</c:v>
                </c:pt>
                <c:pt idx="18">
                  <c:v>13.100785054996878</c:v>
                </c:pt>
                <c:pt idx="19">
                  <c:v>13.349345572428517</c:v>
                </c:pt>
                <c:pt idx="20">
                  <c:v>13.36235734848956</c:v>
                </c:pt>
                <c:pt idx="21">
                  <c:v>13.353585299420077</c:v>
                </c:pt>
                <c:pt idx="22">
                  <c:v>13.322526251921783</c:v>
                </c:pt>
                <c:pt idx="23">
                  <c:v>13.255413035676364</c:v>
                </c:pt>
                <c:pt idx="24">
                  <c:v>13.438196428872415</c:v>
                </c:pt>
                <c:pt idx="25">
                  <c:v>13.388328715563462</c:v>
                </c:pt>
                <c:pt idx="26">
                  <c:v>13.312822790392513</c:v>
                </c:pt>
                <c:pt idx="27">
                  <c:v>13.441100820472901</c:v>
                </c:pt>
                <c:pt idx="28">
                  <c:v>13.400790141213008</c:v>
                </c:pt>
                <c:pt idx="29">
                  <c:v>13.319348033172124</c:v>
                </c:pt>
                <c:pt idx="30">
                  <c:v>13.343391705361528</c:v>
                </c:pt>
                <c:pt idx="31">
                  <c:v>13.596076965556998</c:v>
                </c:pt>
                <c:pt idx="32">
                  <c:v>13.343492959771703</c:v>
                </c:pt>
                <c:pt idx="33">
                  <c:v>13.33035672733932</c:v>
                </c:pt>
                <c:pt idx="34">
                  <c:v>13.274875840799091</c:v>
                </c:pt>
                <c:pt idx="35">
                  <c:v>13.389268656311321</c:v>
                </c:pt>
                <c:pt idx="36">
                  <c:v>13.255460004056788</c:v>
                </c:pt>
                <c:pt idx="37">
                  <c:v>13.284275589332045</c:v>
                </c:pt>
                <c:pt idx="38">
                  <c:v>13.325091098512198</c:v>
                </c:pt>
                <c:pt idx="39">
                  <c:v>13.364094725268158</c:v>
                </c:pt>
                <c:pt idx="40">
                  <c:v>13.273774499306718</c:v>
                </c:pt>
                <c:pt idx="41">
                  <c:v>13.310701490176331</c:v>
                </c:pt>
                <c:pt idx="42">
                  <c:v>13.088041854049065</c:v>
                </c:pt>
                <c:pt idx="43">
                  <c:v>13.222709140753016</c:v>
                </c:pt>
                <c:pt idx="44">
                  <c:v>13.116851025789721</c:v>
                </c:pt>
                <c:pt idx="45">
                  <c:v>13.311799487959584</c:v>
                </c:pt>
                <c:pt idx="46">
                  <c:v>13.275055760766616</c:v>
                </c:pt>
                <c:pt idx="47">
                  <c:v>13.132590048694933</c:v>
                </c:pt>
              </c:numCache>
            </c:numRef>
          </c:yVal>
          <c:smooth val="0"/>
        </c:ser>
        <c:ser>
          <c:idx val="2"/>
          <c:order val="2"/>
          <c:spPr>
            <a:ln w="3175">
              <a:solidFill>
                <a:srgbClr val="FFFF00"/>
              </a:solidFill>
              <a:prstDash val="solid"/>
            </a:ln>
          </c:spPr>
          <c:marker>
            <c:symbol val="none"/>
          </c:marker>
          <c:xVal>
            <c:numRef>
              <c:f>ln13xln03!$Z$13:$Z$62</c:f>
              <c:numCache>
                <c:formatCode>General</c:formatCode>
                <c:ptCount val="50"/>
                <c:pt idx="0">
                  <c:v>10.772558121886703</c:v>
                </c:pt>
                <c:pt idx="1">
                  <c:v>8.3513880672186342</c:v>
                </c:pt>
                <c:pt idx="2">
                  <c:v>8.7579462835897282</c:v>
                </c:pt>
                <c:pt idx="3">
                  <c:v>5.9381241906021609</c:v>
                </c:pt>
                <c:pt idx="4">
                  <c:v>8.3390313888342202</c:v>
                </c:pt>
                <c:pt idx="5">
                  <c:v>7.7507051389466728</c:v>
                </c:pt>
                <c:pt idx="6">
                  <c:v>9.7741257277297162</c:v>
                </c:pt>
                <c:pt idx="7">
                  <c:v>10.145609862448119</c:v>
                </c:pt>
                <c:pt idx="8">
                  <c:v>8.8651800515007348</c:v>
                </c:pt>
                <c:pt idx="9">
                  <c:v>8.0935587151970356</c:v>
                </c:pt>
                <c:pt idx="10">
                  <c:v>9.4293031174291908</c:v>
                </c:pt>
                <c:pt idx="11">
                  <c:v>10.217352589747847</c:v>
                </c:pt>
                <c:pt idx="12">
                  <c:v>8.8781335483064883</c:v>
                </c:pt>
                <c:pt idx="13">
                  <c:v>9.2582345420544776</c:v>
                </c:pt>
                <c:pt idx="14">
                  <c:v>8.586839002480172</c:v>
                </c:pt>
                <c:pt idx="15">
                  <c:v>12.238417612427757</c:v>
                </c:pt>
                <c:pt idx="16">
                  <c:v>10.808748399681072</c:v>
                </c:pt>
                <c:pt idx="17">
                  <c:v>11.306855279311714</c:v>
                </c:pt>
                <c:pt idx="18">
                  <c:v>9.7455515916903028</c:v>
                </c:pt>
                <c:pt idx="19">
                  <c:v>11.677699198282076</c:v>
                </c:pt>
                <c:pt idx="20">
                  <c:v>11.778844272462115</c:v>
                </c:pt>
                <c:pt idx="21">
                  <c:v>11.710656075118306</c:v>
                </c:pt>
                <c:pt idx="22">
                  <c:v>11.469223264682705</c:v>
                </c:pt>
                <c:pt idx="23">
                  <c:v>10.947528823911643</c:v>
                </c:pt>
                <c:pt idx="24">
                  <c:v>12.368367898989618</c:v>
                </c:pt>
                <c:pt idx="25">
                  <c:v>11.980728768239114</c:v>
                </c:pt>
                <c:pt idx="26">
                  <c:v>11.393794873387254</c:v>
                </c:pt>
                <c:pt idx="27" formatCode="0.0000_)">
                  <c:v>12.390944748030137</c:v>
                </c:pt>
                <c:pt idx="28" formatCode="0.0000_)">
                  <c:v>12.077595776693562</c:v>
                </c:pt>
                <c:pt idx="29" formatCode="0.0000_)">
                  <c:v>11.444517861693397</c:v>
                </c:pt>
                <c:pt idx="30" formatCode="0.0000_)">
                  <c:v>11.63141771270136</c:v>
                </c:pt>
                <c:pt idx="31" formatCode="0.0000_)">
                  <c:v>13.595628383617642</c:v>
                </c:pt>
                <c:pt idx="32" formatCode="0.0000_)">
                  <c:v>11.632204798551918</c:v>
                </c:pt>
                <c:pt idx="33" formatCode="0.0000_)">
                  <c:v>11.530092281583716</c:v>
                </c:pt>
                <c:pt idx="34" formatCode="0.0000_)">
                  <c:v>11.098819997280653</c:v>
                </c:pt>
                <c:pt idx="35" formatCode="0.0000_)">
                  <c:v>11.988035255548843</c:v>
                </c:pt>
                <c:pt idx="36" formatCode="0.0000_)">
                  <c:v>10.947893925516528</c:v>
                </c:pt>
                <c:pt idx="37" formatCode="0.0000_)">
                  <c:v>11.171887521512488</c:v>
                </c:pt>
                <c:pt idx="38" formatCode="0.0000_)">
                  <c:v>11.489160711917497</c:v>
                </c:pt>
                <c:pt idx="39" formatCode="0.0000_)">
                  <c:v>11.792349508205923</c:v>
                </c:pt>
                <c:pt idx="40" formatCode="0.0000_)">
                  <c:v>11.090258885682895</c:v>
                </c:pt>
                <c:pt idx="41" formatCode="0.0000_)">
                  <c:v>11.377305266840285</c:v>
                </c:pt>
                <c:pt idx="42" formatCode="0.0000_)">
                  <c:v>9.6464942455516205</c:v>
                </c:pt>
                <c:pt idx="43" formatCode="0.0000_)">
                  <c:v>10.693310040674076</c:v>
                </c:pt>
                <c:pt idx="44" formatCode="0.0000_)">
                  <c:v>9.8704379869059142</c:v>
                </c:pt>
                <c:pt idx="45" formatCode="0.0000_)">
                  <c:v>11.385840386620675</c:v>
                </c:pt>
                <c:pt idx="46" formatCode="0.0000_)">
                  <c:v>11.100218577949152</c:v>
                </c:pt>
                <c:pt idx="47" formatCode="0.0000_)">
                  <c:v>9.9927829021427534</c:v>
                </c:pt>
                <c:pt idx="49" formatCode="0.0000_)">
                  <c:v>9.5093676168778956</c:v>
                </c:pt>
              </c:numCache>
            </c:numRef>
          </c:xVal>
          <c:yVal>
            <c:numRef>
              <c:f>ln13xln03!$AE$13:$AE$60</c:f>
              <c:numCache>
                <c:formatCode>General</c:formatCode>
                <c:ptCount val="48"/>
                <c:pt idx="0">
                  <c:v>14.422315075691111</c:v>
                </c:pt>
                <c:pt idx="1">
                  <c:v>14.110844420175383</c:v>
                </c:pt>
                <c:pt idx="2">
                  <c:v>14.163145973267145</c:v>
                </c:pt>
                <c:pt idx="3">
                  <c:v>13.800390852433232</c:v>
                </c:pt>
                <c:pt idx="4">
                  <c:v>14.109254799194828</c:v>
                </c:pt>
                <c:pt idx="5">
                  <c:v>14.033569754950918</c:v>
                </c:pt>
                <c:pt idx="6">
                  <c:v>14.293872056293678</c:v>
                </c:pt>
                <c:pt idx="7">
                  <c:v>14.341661515250246</c:v>
                </c:pt>
                <c:pt idx="8">
                  <c:v>14.176941027406473</c:v>
                </c:pt>
                <c:pt idx="9">
                  <c:v>14.07767604477336</c:v>
                </c:pt>
                <c:pt idx="10">
                  <c:v>14.249512460708941</c:v>
                </c:pt>
                <c:pt idx="11">
                  <c:v>14.350890835701096</c:v>
                </c:pt>
                <c:pt idx="12">
                  <c:v>14.17860742590398</c:v>
                </c:pt>
                <c:pt idx="13">
                  <c:v>14.227505397963649</c:v>
                </c:pt>
                <c:pt idx="14">
                  <c:v>14.141133931234842</c:v>
                </c:pt>
                <c:pt idx="15">
                  <c:v>14.610890105987925</c:v>
                </c:pt>
                <c:pt idx="16">
                  <c:v>14.426970762525736</c:v>
                </c:pt>
                <c:pt idx="17">
                  <c:v>14.491049564432412</c:v>
                </c:pt>
                <c:pt idx="18">
                  <c:v>14.290196145605028</c:v>
                </c:pt>
                <c:pt idx="19">
                  <c:v>14.538756663036667</c:v>
                </c:pt>
                <c:pt idx="20">
                  <c:v>14.55176843909771</c:v>
                </c:pt>
                <c:pt idx="21">
                  <c:v>14.542996390028227</c:v>
                </c:pt>
                <c:pt idx="22">
                  <c:v>14.511937342529933</c:v>
                </c:pt>
                <c:pt idx="23">
                  <c:v>14.444824126284514</c:v>
                </c:pt>
                <c:pt idx="24">
                  <c:v>14.627607519480565</c:v>
                </c:pt>
                <c:pt idx="25">
                  <c:v>14.577739806171612</c:v>
                </c:pt>
                <c:pt idx="26">
                  <c:v>14.502233881000663</c:v>
                </c:pt>
                <c:pt idx="27">
                  <c:v>14.630511911081051</c:v>
                </c:pt>
                <c:pt idx="28">
                  <c:v>14.590201231821158</c:v>
                </c:pt>
                <c:pt idx="29">
                  <c:v>14.508759123780274</c:v>
                </c:pt>
                <c:pt idx="30">
                  <c:v>14.532802795969678</c:v>
                </c:pt>
                <c:pt idx="31">
                  <c:v>14.785488056165148</c:v>
                </c:pt>
                <c:pt idx="32">
                  <c:v>14.532904050379853</c:v>
                </c:pt>
                <c:pt idx="33">
                  <c:v>14.51976781794747</c:v>
                </c:pt>
                <c:pt idx="34">
                  <c:v>14.464286931407241</c:v>
                </c:pt>
                <c:pt idx="35">
                  <c:v>14.578679746919471</c:v>
                </c:pt>
                <c:pt idx="36">
                  <c:v>14.444871094664938</c:v>
                </c:pt>
                <c:pt idx="37">
                  <c:v>14.473686679940196</c:v>
                </c:pt>
                <c:pt idx="38">
                  <c:v>14.514502189120348</c:v>
                </c:pt>
                <c:pt idx="39">
                  <c:v>14.553505815876308</c:v>
                </c:pt>
                <c:pt idx="40">
                  <c:v>14.463185589914868</c:v>
                </c:pt>
                <c:pt idx="41">
                  <c:v>14.500112580784482</c:v>
                </c:pt>
                <c:pt idx="42">
                  <c:v>14.277452944657215</c:v>
                </c:pt>
                <c:pt idx="43">
                  <c:v>14.412120231361166</c:v>
                </c:pt>
                <c:pt idx="44">
                  <c:v>14.306262116397871</c:v>
                </c:pt>
                <c:pt idx="45">
                  <c:v>14.501210578567735</c:v>
                </c:pt>
                <c:pt idx="46">
                  <c:v>14.464466851374766</c:v>
                </c:pt>
                <c:pt idx="47">
                  <c:v>14.322001139303083</c:v>
                </c:pt>
              </c:numCache>
            </c:numRef>
          </c:yVal>
          <c:smooth val="0"/>
        </c:ser>
        <c:ser>
          <c:idx val="3"/>
          <c:order val="3"/>
          <c:tx>
            <c:v>Forescast</c:v>
          </c:tx>
          <c:spPr>
            <a:ln w="3175">
              <a:solidFill>
                <a:srgbClr val="FF00FF"/>
              </a:solidFill>
              <a:prstDash val="solid"/>
            </a:ln>
          </c:spPr>
          <c:marker>
            <c:symbol val="square"/>
            <c:size val="10"/>
            <c:spPr>
              <a:solidFill>
                <a:srgbClr val="FF00FF"/>
              </a:solidFill>
              <a:ln>
                <a:solidFill>
                  <a:srgbClr val="000000"/>
                </a:solidFill>
                <a:prstDash val="solid"/>
              </a:ln>
            </c:spPr>
          </c:marker>
          <c:xVal>
            <c:numRef>
              <c:f>ln13xln03!$Z$13:$Z$62</c:f>
              <c:numCache>
                <c:formatCode>General</c:formatCode>
                <c:ptCount val="50"/>
                <c:pt idx="0">
                  <c:v>10.772558121886703</c:v>
                </c:pt>
                <c:pt idx="1">
                  <c:v>8.3513880672186342</c:v>
                </c:pt>
                <c:pt idx="2">
                  <c:v>8.7579462835897282</c:v>
                </c:pt>
                <c:pt idx="3">
                  <c:v>5.9381241906021609</c:v>
                </c:pt>
                <c:pt idx="4">
                  <c:v>8.3390313888342202</c:v>
                </c:pt>
                <c:pt idx="5">
                  <c:v>7.7507051389466728</c:v>
                </c:pt>
                <c:pt idx="6">
                  <c:v>9.7741257277297162</c:v>
                </c:pt>
                <c:pt idx="7">
                  <c:v>10.145609862448119</c:v>
                </c:pt>
                <c:pt idx="8">
                  <c:v>8.8651800515007348</c:v>
                </c:pt>
                <c:pt idx="9">
                  <c:v>8.0935587151970356</c:v>
                </c:pt>
                <c:pt idx="10">
                  <c:v>9.4293031174291908</c:v>
                </c:pt>
                <c:pt idx="11">
                  <c:v>10.217352589747847</c:v>
                </c:pt>
                <c:pt idx="12">
                  <c:v>8.8781335483064883</c:v>
                </c:pt>
                <c:pt idx="13">
                  <c:v>9.2582345420544776</c:v>
                </c:pt>
                <c:pt idx="14">
                  <c:v>8.586839002480172</c:v>
                </c:pt>
                <c:pt idx="15">
                  <c:v>12.238417612427757</c:v>
                </c:pt>
                <c:pt idx="16">
                  <c:v>10.808748399681072</c:v>
                </c:pt>
                <c:pt idx="17">
                  <c:v>11.306855279311714</c:v>
                </c:pt>
                <c:pt idx="18">
                  <c:v>9.7455515916903028</c:v>
                </c:pt>
                <c:pt idx="19">
                  <c:v>11.677699198282076</c:v>
                </c:pt>
                <c:pt idx="20">
                  <c:v>11.778844272462115</c:v>
                </c:pt>
                <c:pt idx="21">
                  <c:v>11.710656075118306</c:v>
                </c:pt>
                <c:pt idx="22">
                  <c:v>11.469223264682705</c:v>
                </c:pt>
                <c:pt idx="23">
                  <c:v>10.947528823911643</c:v>
                </c:pt>
                <c:pt idx="24">
                  <c:v>12.368367898989618</c:v>
                </c:pt>
                <c:pt idx="25">
                  <c:v>11.980728768239114</c:v>
                </c:pt>
                <c:pt idx="26">
                  <c:v>11.393794873387254</c:v>
                </c:pt>
                <c:pt idx="27" formatCode="0.0000_)">
                  <c:v>12.390944748030137</c:v>
                </c:pt>
                <c:pt idx="28" formatCode="0.0000_)">
                  <c:v>12.077595776693562</c:v>
                </c:pt>
                <c:pt idx="29" formatCode="0.0000_)">
                  <c:v>11.444517861693397</c:v>
                </c:pt>
                <c:pt idx="30" formatCode="0.0000_)">
                  <c:v>11.63141771270136</c:v>
                </c:pt>
                <c:pt idx="31" formatCode="0.0000_)">
                  <c:v>13.595628383617642</c:v>
                </c:pt>
                <c:pt idx="32" formatCode="0.0000_)">
                  <c:v>11.632204798551918</c:v>
                </c:pt>
                <c:pt idx="33" formatCode="0.0000_)">
                  <c:v>11.530092281583716</c:v>
                </c:pt>
                <c:pt idx="34" formatCode="0.0000_)">
                  <c:v>11.098819997280653</c:v>
                </c:pt>
                <c:pt idx="35" formatCode="0.0000_)">
                  <c:v>11.988035255548843</c:v>
                </c:pt>
                <c:pt idx="36" formatCode="0.0000_)">
                  <c:v>10.947893925516528</c:v>
                </c:pt>
                <c:pt idx="37" formatCode="0.0000_)">
                  <c:v>11.171887521512488</c:v>
                </c:pt>
                <c:pt idx="38" formatCode="0.0000_)">
                  <c:v>11.489160711917497</c:v>
                </c:pt>
                <c:pt idx="39" formatCode="0.0000_)">
                  <c:v>11.792349508205923</c:v>
                </c:pt>
                <c:pt idx="40" formatCode="0.0000_)">
                  <c:v>11.090258885682895</c:v>
                </c:pt>
                <c:pt idx="41" formatCode="0.0000_)">
                  <c:v>11.377305266840285</c:v>
                </c:pt>
                <c:pt idx="42" formatCode="0.0000_)">
                  <c:v>9.6464942455516205</c:v>
                </c:pt>
                <c:pt idx="43" formatCode="0.0000_)">
                  <c:v>10.693310040674076</c:v>
                </c:pt>
                <c:pt idx="44" formatCode="0.0000_)">
                  <c:v>9.8704379869059142</c:v>
                </c:pt>
                <c:pt idx="45" formatCode="0.0000_)">
                  <c:v>11.385840386620675</c:v>
                </c:pt>
                <c:pt idx="46" formatCode="0.0000_)">
                  <c:v>11.100218577949152</c:v>
                </c:pt>
                <c:pt idx="47" formatCode="0.0000_)">
                  <c:v>9.9927829021427534</c:v>
                </c:pt>
                <c:pt idx="49" formatCode="0.0000_)">
                  <c:v>9.5093676168778956</c:v>
                </c:pt>
              </c:numCache>
            </c:numRef>
          </c:xVal>
          <c:yVal>
            <c:numRef>
              <c:f>ln13xln03!$AF$13:$AF$62</c:f>
              <c:numCache>
                <c:formatCode>General</c:formatCode>
                <c:ptCount val="50"/>
                <c:pt idx="49">
                  <c:v>13.665106787600438</c:v>
                </c:pt>
              </c:numCache>
            </c:numRef>
          </c:yVal>
          <c:smooth val="0"/>
        </c:ser>
        <c:dLbls>
          <c:showLegendKey val="0"/>
          <c:showVal val="0"/>
          <c:showCatName val="0"/>
          <c:showSerName val="0"/>
          <c:showPercent val="0"/>
          <c:showBubbleSize val="0"/>
        </c:dLbls>
        <c:axId val="367715456"/>
        <c:axId val="367717760"/>
      </c:scatterChart>
      <c:valAx>
        <c:axId val="367715456"/>
        <c:scaling>
          <c:orientation val="minMax"/>
          <c:max val="15"/>
          <c:min val="5"/>
        </c:scaling>
        <c:delete val="0"/>
        <c:axPos val="b"/>
        <c:title>
          <c:tx>
            <c:rich>
              <a:bodyPr/>
              <a:lstStyle/>
              <a:p>
                <a:pPr>
                  <a:defRPr sz="1000" b="0" i="0" u="none" strike="noStrike" baseline="0">
                    <a:solidFill>
                      <a:srgbClr val="000000"/>
                    </a:solidFill>
                    <a:latin typeface="Arial"/>
                    <a:ea typeface="Arial"/>
                    <a:cs typeface="Arial"/>
                  </a:defRPr>
                </a:pPr>
                <a:r>
                  <a:rPr lang="en-US"/>
                  <a:t>LN AGED 0.3</a:t>
                </a:r>
              </a:p>
            </c:rich>
          </c:tx>
          <c:layout>
            <c:manualLayout>
              <c:xMode val="edge"/>
              <c:yMode val="edge"/>
              <c:x val="0.48616594410586988"/>
              <c:y val="0.85795914293983655"/>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367717760"/>
        <c:crosses val="autoZero"/>
        <c:crossBetween val="midCat"/>
      </c:valAx>
      <c:valAx>
        <c:axId val="367717760"/>
        <c:scaling>
          <c:orientation val="minMax"/>
        </c:scaling>
        <c:delete val="0"/>
        <c:axPos val="l"/>
        <c:title>
          <c:tx>
            <c:rich>
              <a:bodyPr/>
              <a:lstStyle/>
              <a:p>
                <a:pPr>
                  <a:defRPr sz="1000" b="0" i="0" u="none" strike="noStrike" baseline="0">
                    <a:solidFill>
                      <a:srgbClr val="000000"/>
                    </a:solidFill>
                    <a:latin typeface="Arial"/>
                    <a:ea typeface="Arial"/>
                    <a:cs typeface="Arial"/>
                  </a:defRPr>
                </a:pPr>
                <a:r>
                  <a:rPr lang="en-US"/>
                  <a:t>LN SIBLINGS AGED 1.3</a:t>
                </a:r>
              </a:p>
            </c:rich>
          </c:tx>
          <c:layout>
            <c:manualLayout>
              <c:xMode val="edge"/>
              <c:yMode val="edge"/>
              <c:x val="3.9525696607240784E-2"/>
              <c:y val="0.33671566719559676"/>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367715456"/>
        <c:crosses val="autoZero"/>
        <c:crossBetween val="midCat"/>
      </c:valAx>
      <c:spPr>
        <a:solidFill>
          <a:srgbClr val="FFFFFF"/>
        </a:solidFill>
        <a:ln w="12700">
          <a:solidFill>
            <a:srgbClr val="000000"/>
          </a:solidFill>
          <a:prstDash val="solid"/>
        </a:ln>
      </c:spPr>
    </c:plotArea>
    <c:legend>
      <c:legendPos val="r"/>
      <c:legendEntry>
        <c:idx val="1"/>
        <c:delete val="1"/>
      </c:legendEntry>
      <c:legendEntry>
        <c:idx val="2"/>
        <c:delete val="1"/>
      </c:legendEntry>
      <c:layout>
        <c:manualLayout>
          <c:xMode val="edge"/>
          <c:yMode val="edge"/>
          <c:x val="0.69301713107149387"/>
          <c:y val="0.61255631068930072"/>
          <c:w val="0.18840577910678391"/>
          <c:h val="0.11033621747851872"/>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84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9525">
      <a:noFill/>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0" i="0" u="none" strike="noStrike" baseline="0">
                <a:solidFill>
                  <a:srgbClr val="000000"/>
                </a:solidFill>
                <a:latin typeface="SWISS"/>
                <a:ea typeface="SWISS"/>
                <a:cs typeface="SWISS"/>
              </a:defRPr>
            </a:pPr>
            <a:r>
              <a:rPr lang="en-US"/>
              <a:t>Age 1.2 to Predict 1.3, Untransformed</a:t>
            </a:r>
          </a:p>
        </c:rich>
      </c:tx>
      <c:layout>
        <c:manualLayout>
          <c:xMode val="edge"/>
          <c:yMode val="edge"/>
          <c:x val="0.26580881806535461"/>
          <c:y val="2.9465864737387534E-2"/>
        </c:manualLayout>
      </c:layout>
      <c:overlay val="0"/>
      <c:spPr>
        <a:solidFill>
          <a:srgbClr val="FFFFFF"/>
        </a:solidFill>
        <a:ln w="25400">
          <a:noFill/>
        </a:ln>
      </c:spPr>
    </c:title>
    <c:autoTitleDeleted val="0"/>
    <c:plotArea>
      <c:layout>
        <c:manualLayout>
          <c:layoutTarget val="inner"/>
          <c:xMode val="edge"/>
          <c:yMode val="edge"/>
          <c:x val="0.17797232905568502"/>
          <c:y val="0.12338858195211792"/>
          <c:w val="0.76144590679480995"/>
          <c:h val="0.72385197237799392"/>
        </c:manualLayout>
      </c:layout>
      <c:scatterChart>
        <c:scatterStyle val="lineMarker"/>
        <c:varyColors val="0"/>
        <c:ser>
          <c:idx val="0"/>
          <c:order val="0"/>
          <c:tx>
            <c:v>ACTUAL</c:v>
          </c:tx>
          <c:spPr>
            <a:ln w="28575">
              <a:noFill/>
            </a:ln>
          </c:spPr>
          <c:marker>
            <c:symbol val="diamond"/>
            <c:size val="5"/>
            <c:spPr>
              <a:solidFill>
                <a:schemeClr val="tx1"/>
              </a:solidFill>
            </c:spPr>
          </c:marker>
          <c:dLbls>
            <c:dLbl>
              <c:idx val="0"/>
              <c:tx>
                <c:strRef>
                  <c:f>'13 x 12'!$AB$13</c:f>
                  <c:strCache>
                    <c:ptCount val="1"/>
                    <c:pt idx="0">
                      <c:v>67 </c:v>
                    </c:pt>
                  </c:strCache>
                </c:strRef>
              </c:tx>
              <c:dLblPos val="t"/>
              <c:showLegendKey val="0"/>
              <c:showVal val="1"/>
              <c:showCatName val="0"/>
              <c:showSerName val="0"/>
              <c:showPercent val="0"/>
              <c:showBubbleSize val="0"/>
            </c:dLbl>
            <c:dLbl>
              <c:idx val="1"/>
              <c:tx>
                <c:strRef>
                  <c:f>'13 x 12'!$AB$14</c:f>
                  <c:strCache>
                    <c:ptCount val="1"/>
                    <c:pt idx="0">
                      <c:v>68 </c:v>
                    </c:pt>
                  </c:strCache>
                </c:strRef>
              </c:tx>
              <c:dLblPos val="t"/>
              <c:showLegendKey val="0"/>
              <c:showVal val="1"/>
              <c:showCatName val="0"/>
              <c:showSerName val="0"/>
              <c:showPercent val="0"/>
              <c:showBubbleSize val="0"/>
            </c:dLbl>
            <c:dLbl>
              <c:idx val="2"/>
              <c:tx>
                <c:strRef>
                  <c:f>'13 x 12'!$AB$15</c:f>
                  <c:strCache>
                    <c:ptCount val="1"/>
                    <c:pt idx="0">
                      <c:v>69 </c:v>
                    </c:pt>
                  </c:strCache>
                </c:strRef>
              </c:tx>
              <c:dLblPos val="t"/>
              <c:showLegendKey val="0"/>
              <c:showVal val="1"/>
              <c:showCatName val="0"/>
              <c:showSerName val="0"/>
              <c:showPercent val="0"/>
              <c:showBubbleSize val="0"/>
            </c:dLbl>
            <c:dLbl>
              <c:idx val="3"/>
              <c:tx>
                <c:strRef>
                  <c:f>'13 x 12'!$AB$16</c:f>
                  <c:strCache>
                    <c:ptCount val="1"/>
                    <c:pt idx="0">
                      <c:v>70 </c:v>
                    </c:pt>
                  </c:strCache>
                </c:strRef>
              </c:tx>
              <c:dLblPos val="t"/>
              <c:showLegendKey val="0"/>
              <c:showVal val="1"/>
              <c:showCatName val="0"/>
              <c:showSerName val="0"/>
              <c:showPercent val="0"/>
              <c:showBubbleSize val="0"/>
            </c:dLbl>
            <c:dLbl>
              <c:idx val="4"/>
              <c:tx>
                <c:strRef>
                  <c:f>'13 x 12'!$AB$17</c:f>
                  <c:strCache>
                    <c:ptCount val="1"/>
                    <c:pt idx="0">
                      <c:v>71 </c:v>
                    </c:pt>
                  </c:strCache>
                </c:strRef>
              </c:tx>
              <c:dLblPos val="t"/>
              <c:showLegendKey val="0"/>
              <c:showVal val="1"/>
              <c:showCatName val="0"/>
              <c:showSerName val="0"/>
              <c:showPercent val="0"/>
              <c:showBubbleSize val="0"/>
            </c:dLbl>
            <c:dLbl>
              <c:idx val="5"/>
              <c:tx>
                <c:strRef>
                  <c:f>'13 x 12'!$AB$18</c:f>
                  <c:strCache>
                    <c:ptCount val="1"/>
                    <c:pt idx="0">
                      <c:v>72 </c:v>
                    </c:pt>
                  </c:strCache>
                </c:strRef>
              </c:tx>
              <c:dLblPos val="t"/>
              <c:showLegendKey val="0"/>
              <c:showVal val="1"/>
              <c:showCatName val="0"/>
              <c:showSerName val="0"/>
              <c:showPercent val="0"/>
              <c:showBubbleSize val="0"/>
            </c:dLbl>
            <c:dLbl>
              <c:idx val="6"/>
              <c:tx>
                <c:strRef>
                  <c:f>'13 x 12'!$AB$19</c:f>
                  <c:strCache>
                    <c:ptCount val="1"/>
                    <c:pt idx="0">
                      <c:v>73 </c:v>
                    </c:pt>
                  </c:strCache>
                </c:strRef>
              </c:tx>
              <c:dLblPos val="t"/>
              <c:showLegendKey val="0"/>
              <c:showVal val="1"/>
              <c:showCatName val="0"/>
              <c:showSerName val="0"/>
              <c:showPercent val="0"/>
              <c:showBubbleSize val="0"/>
            </c:dLbl>
            <c:dLbl>
              <c:idx val="7"/>
              <c:tx>
                <c:strRef>
                  <c:f>'13 x 12'!$AB$20</c:f>
                  <c:strCache>
                    <c:ptCount val="1"/>
                    <c:pt idx="0">
                      <c:v>74 </c:v>
                    </c:pt>
                  </c:strCache>
                </c:strRef>
              </c:tx>
              <c:dLblPos val="t"/>
              <c:showLegendKey val="0"/>
              <c:showVal val="1"/>
              <c:showCatName val="0"/>
              <c:showSerName val="0"/>
              <c:showPercent val="0"/>
              <c:showBubbleSize val="0"/>
            </c:dLbl>
            <c:dLbl>
              <c:idx val="8"/>
              <c:tx>
                <c:strRef>
                  <c:f>'13 x 12'!$AB$21</c:f>
                  <c:strCache>
                    <c:ptCount val="1"/>
                    <c:pt idx="0">
                      <c:v>75 </c:v>
                    </c:pt>
                  </c:strCache>
                </c:strRef>
              </c:tx>
              <c:dLblPos val="t"/>
              <c:showLegendKey val="0"/>
              <c:showVal val="1"/>
              <c:showCatName val="0"/>
              <c:showSerName val="0"/>
              <c:showPercent val="0"/>
              <c:showBubbleSize val="0"/>
            </c:dLbl>
            <c:dLbl>
              <c:idx val="9"/>
              <c:tx>
                <c:strRef>
                  <c:f>'13 x 12'!$AB$22</c:f>
                  <c:strCache>
                    <c:ptCount val="1"/>
                    <c:pt idx="0">
                      <c:v>76 </c:v>
                    </c:pt>
                  </c:strCache>
                </c:strRef>
              </c:tx>
              <c:dLblPos val="t"/>
              <c:showLegendKey val="0"/>
              <c:showVal val="1"/>
              <c:showCatName val="0"/>
              <c:showSerName val="0"/>
              <c:showPercent val="0"/>
              <c:showBubbleSize val="0"/>
            </c:dLbl>
            <c:dLbl>
              <c:idx val="10"/>
              <c:tx>
                <c:strRef>
                  <c:f>'13 x 12'!$AB$23</c:f>
                  <c:strCache>
                    <c:ptCount val="1"/>
                    <c:pt idx="0">
                      <c:v>77 </c:v>
                    </c:pt>
                  </c:strCache>
                </c:strRef>
              </c:tx>
              <c:dLblPos val="t"/>
              <c:showLegendKey val="0"/>
              <c:showVal val="1"/>
              <c:showCatName val="0"/>
              <c:showSerName val="0"/>
              <c:showPercent val="0"/>
              <c:showBubbleSize val="0"/>
            </c:dLbl>
            <c:dLbl>
              <c:idx val="11"/>
              <c:tx>
                <c:strRef>
                  <c:f>'13 x 12'!$AB$24</c:f>
                  <c:strCache>
                    <c:ptCount val="1"/>
                    <c:pt idx="0">
                      <c:v>78 </c:v>
                    </c:pt>
                  </c:strCache>
                </c:strRef>
              </c:tx>
              <c:dLblPos val="t"/>
              <c:showLegendKey val="0"/>
              <c:showVal val="1"/>
              <c:showCatName val="0"/>
              <c:showSerName val="0"/>
              <c:showPercent val="0"/>
              <c:showBubbleSize val="0"/>
            </c:dLbl>
            <c:dLbl>
              <c:idx val="12"/>
              <c:tx>
                <c:strRef>
                  <c:f>'13 x 12'!$AB$25</c:f>
                  <c:strCache>
                    <c:ptCount val="1"/>
                    <c:pt idx="0">
                      <c:v>79 </c:v>
                    </c:pt>
                  </c:strCache>
                </c:strRef>
              </c:tx>
              <c:dLblPos val="t"/>
              <c:showLegendKey val="0"/>
              <c:showVal val="1"/>
              <c:showCatName val="0"/>
              <c:showSerName val="0"/>
              <c:showPercent val="0"/>
              <c:showBubbleSize val="0"/>
            </c:dLbl>
            <c:dLbl>
              <c:idx val="13"/>
              <c:tx>
                <c:strRef>
                  <c:f>'13 x 12'!$AB$26</c:f>
                  <c:strCache>
                    <c:ptCount val="1"/>
                    <c:pt idx="0">
                      <c:v>80 </c:v>
                    </c:pt>
                  </c:strCache>
                </c:strRef>
              </c:tx>
              <c:dLblPos val="t"/>
              <c:showLegendKey val="0"/>
              <c:showVal val="1"/>
              <c:showCatName val="0"/>
              <c:showSerName val="0"/>
              <c:showPercent val="0"/>
              <c:showBubbleSize val="0"/>
            </c:dLbl>
            <c:dLbl>
              <c:idx val="14"/>
              <c:tx>
                <c:strRef>
                  <c:f>'13 x 12'!$AB$27</c:f>
                  <c:strCache>
                    <c:ptCount val="1"/>
                    <c:pt idx="0">
                      <c:v>81 </c:v>
                    </c:pt>
                  </c:strCache>
                </c:strRef>
              </c:tx>
              <c:dLblPos val="t"/>
              <c:showLegendKey val="0"/>
              <c:showVal val="1"/>
              <c:showCatName val="0"/>
              <c:showSerName val="0"/>
              <c:showPercent val="0"/>
              <c:showBubbleSize val="0"/>
            </c:dLbl>
            <c:dLbl>
              <c:idx val="15"/>
              <c:tx>
                <c:strRef>
                  <c:f>'13 x 12'!$AB$28</c:f>
                  <c:strCache>
                    <c:ptCount val="1"/>
                    <c:pt idx="0">
                      <c:v>82 </c:v>
                    </c:pt>
                  </c:strCache>
                </c:strRef>
              </c:tx>
              <c:dLblPos val="t"/>
              <c:showLegendKey val="0"/>
              <c:showVal val="1"/>
              <c:showCatName val="0"/>
              <c:showSerName val="0"/>
              <c:showPercent val="0"/>
              <c:showBubbleSize val="0"/>
            </c:dLbl>
            <c:dLbl>
              <c:idx val="16"/>
              <c:tx>
                <c:strRef>
                  <c:f>'13 x 12'!$AB$29</c:f>
                  <c:strCache>
                    <c:ptCount val="1"/>
                    <c:pt idx="0">
                      <c:v>83 </c:v>
                    </c:pt>
                  </c:strCache>
                </c:strRef>
              </c:tx>
              <c:dLblPos val="t"/>
              <c:showLegendKey val="0"/>
              <c:showVal val="1"/>
              <c:showCatName val="0"/>
              <c:showSerName val="0"/>
              <c:showPercent val="0"/>
              <c:showBubbleSize val="0"/>
            </c:dLbl>
            <c:dLbl>
              <c:idx val="17"/>
              <c:tx>
                <c:strRef>
                  <c:f>'13 x 12'!$AB$30</c:f>
                  <c:strCache>
                    <c:ptCount val="1"/>
                    <c:pt idx="0">
                      <c:v>84 </c:v>
                    </c:pt>
                  </c:strCache>
                </c:strRef>
              </c:tx>
              <c:dLblPos val="t"/>
              <c:showLegendKey val="0"/>
              <c:showVal val="1"/>
              <c:showCatName val="0"/>
              <c:showSerName val="0"/>
              <c:showPercent val="0"/>
              <c:showBubbleSize val="0"/>
            </c:dLbl>
            <c:dLbl>
              <c:idx val="18"/>
              <c:tx>
                <c:strRef>
                  <c:f>'13 x 12'!$AB$31</c:f>
                  <c:strCache>
                    <c:ptCount val="1"/>
                    <c:pt idx="0">
                      <c:v>85 </c:v>
                    </c:pt>
                  </c:strCache>
                </c:strRef>
              </c:tx>
              <c:dLblPos val="t"/>
              <c:showLegendKey val="0"/>
              <c:showVal val="1"/>
              <c:showCatName val="0"/>
              <c:showSerName val="0"/>
              <c:showPercent val="0"/>
              <c:showBubbleSize val="0"/>
            </c:dLbl>
            <c:dLbl>
              <c:idx val="19"/>
              <c:tx>
                <c:strRef>
                  <c:f>'13 x 12'!$AB$32</c:f>
                  <c:strCache>
                    <c:ptCount val="1"/>
                    <c:pt idx="0">
                      <c:v>86 </c:v>
                    </c:pt>
                  </c:strCache>
                </c:strRef>
              </c:tx>
              <c:dLblPos val="t"/>
              <c:showLegendKey val="0"/>
              <c:showVal val="1"/>
              <c:showCatName val="0"/>
              <c:showSerName val="0"/>
              <c:showPercent val="0"/>
              <c:showBubbleSize val="0"/>
            </c:dLbl>
            <c:dLbl>
              <c:idx val="20"/>
              <c:tx>
                <c:strRef>
                  <c:f>'13 x 12'!$AB$33</c:f>
                  <c:strCache>
                    <c:ptCount val="1"/>
                    <c:pt idx="0">
                      <c:v>87 </c:v>
                    </c:pt>
                  </c:strCache>
                </c:strRef>
              </c:tx>
              <c:dLblPos val="t"/>
              <c:showLegendKey val="0"/>
              <c:showVal val="1"/>
              <c:showCatName val="0"/>
              <c:showSerName val="0"/>
              <c:showPercent val="0"/>
              <c:showBubbleSize val="0"/>
            </c:dLbl>
            <c:dLbl>
              <c:idx val="21"/>
              <c:tx>
                <c:strRef>
                  <c:f>'13 x 12'!$AB$34</c:f>
                  <c:strCache>
                    <c:ptCount val="1"/>
                    <c:pt idx="0">
                      <c:v>88 </c:v>
                    </c:pt>
                  </c:strCache>
                </c:strRef>
              </c:tx>
              <c:dLblPos val="t"/>
              <c:showLegendKey val="0"/>
              <c:showVal val="1"/>
              <c:showCatName val="0"/>
              <c:showSerName val="0"/>
              <c:showPercent val="0"/>
              <c:showBubbleSize val="0"/>
            </c:dLbl>
            <c:dLbl>
              <c:idx val="22"/>
              <c:tx>
                <c:strRef>
                  <c:f>'13 x 12'!$AB$35</c:f>
                  <c:strCache>
                    <c:ptCount val="1"/>
                    <c:pt idx="0">
                      <c:v>89 </c:v>
                    </c:pt>
                  </c:strCache>
                </c:strRef>
              </c:tx>
              <c:dLblPos val="t"/>
              <c:showLegendKey val="0"/>
              <c:showVal val="1"/>
              <c:showCatName val="0"/>
              <c:showSerName val="0"/>
              <c:showPercent val="0"/>
              <c:showBubbleSize val="0"/>
            </c:dLbl>
            <c:dLbl>
              <c:idx val="23"/>
              <c:tx>
                <c:strRef>
                  <c:f>'13 x 12'!$AB$36</c:f>
                  <c:strCache>
                    <c:ptCount val="1"/>
                    <c:pt idx="0">
                      <c:v>90 </c:v>
                    </c:pt>
                  </c:strCache>
                </c:strRef>
              </c:tx>
              <c:dLblPos val="t"/>
              <c:showLegendKey val="0"/>
              <c:showVal val="1"/>
              <c:showCatName val="0"/>
              <c:showSerName val="0"/>
              <c:showPercent val="0"/>
              <c:showBubbleSize val="0"/>
            </c:dLbl>
            <c:dLbl>
              <c:idx val="24"/>
              <c:tx>
                <c:strRef>
                  <c:f>'13 x 12'!$AB$37</c:f>
                  <c:strCache>
                    <c:ptCount val="1"/>
                    <c:pt idx="0">
                      <c:v>91 </c:v>
                    </c:pt>
                  </c:strCache>
                </c:strRef>
              </c:tx>
              <c:dLblPos val="t"/>
              <c:showLegendKey val="0"/>
              <c:showVal val="1"/>
              <c:showCatName val="0"/>
              <c:showSerName val="0"/>
              <c:showPercent val="0"/>
              <c:showBubbleSize val="0"/>
            </c:dLbl>
            <c:dLbl>
              <c:idx val="25"/>
              <c:tx>
                <c:strRef>
                  <c:f>'13 x 12'!$AB$38</c:f>
                  <c:strCache>
                    <c:ptCount val="1"/>
                    <c:pt idx="0">
                      <c:v>92 </c:v>
                    </c:pt>
                  </c:strCache>
                </c:strRef>
              </c:tx>
              <c:dLblPos val="t"/>
              <c:showLegendKey val="0"/>
              <c:showVal val="1"/>
              <c:showCatName val="0"/>
              <c:showSerName val="0"/>
              <c:showPercent val="0"/>
              <c:showBubbleSize val="0"/>
            </c:dLbl>
            <c:dLbl>
              <c:idx val="26"/>
              <c:tx>
                <c:strRef>
                  <c:f>'13 x 12'!$AB$39</c:f>
                  <c:strCache>
                    <c:ptCount val="1"/>
                    <c:pt idx="0">
                      <c:v>93 </c:v>
                    </c:pt>
                  </c:strCache>
                </c:strRef>
              </c:tx>
              <c:dLblPos val="t"/>
              <c:showLegendKey val="0"/>
              <c:showVal val="1"/>
              <c:showCatName val="0"/>
              <c:showSerName val="0"/>
              <c:showPercent val="0"/>
              <c:showBubbleSize val="0"/>
            </c:dLbl>
            <c:dLbl>
              <c:idx val="27"/>
              <c:tx>
                <c:strRef>
                  <c:f>'13 x 12'!$AB$40</c:f>
                  <c:strCache>
                    <c:ptCount val="1"/>
                    <c:pt idx="0">
                      <c:v>94 </c:v>
                    </c:pt>
                  </c:strCache>
                </c:strRef>
              </c:tx>
              <c:dLblPos val="t"/>
              <c:showLegendKey val="0"/>
              <c:showVal val="1"/>
              <c:showCatName val="0"/>
              <c:showSerName val="0"/>
              <c:showPercent val="0"/>
              <c:showBubbleSize val="0"/>
            </c:dLbl>
            <c:dLbl>
              <c:idx val="28"/>
              <c:tx>
                <c:strRef>
                  <c:f>'13 x 12'!$AB$41</c:f>
                  <c:strCache>
                    <c:ptCount val="1"/>
                    <c:pt idx="0">
                      <c:v>95 </c:v>
                    </c:pt>
                  </c:strCache>
                </c:strRef>
              </c:tx>
              <c:dLblPos val="t"/>
              <c:showLegendKey val="0"/>
              <c:showVal val="1"/>
              <c:showCatName val="0"/>
              <c:showSerName val="0"/>
              <c:showPercent val="0"/>
              <c:showBubbleSize val="0"/>
            </c:dLbl>
            <c:dLbl>
              <c:idx val="29"/>
              <c:tx>
                <c:strRef>
                  <c:f>'13 x 12'!$AB$42</c:f>
                  <c:strCache>
                    <c:ptCount val="1"/>
                    <c:pt idx="0">
                      <c:v>96 </c:v>
                    </c:pt>
                  </c:strCache>
                </c:strRef>
              </c:tx>
              <c:dLblPos val="t"/>
              <c:showLegendKey val="0"/>
              <c:showVal val="1"/>
              <c:showCatName val="0"/>
              <c:showSerName val="0"/>
              <c:showPercent val="0"/>
              <c:showBubbleSize val="0"/>
            </c:dLbl>
            <c:dLbl>
              <c:idx val="30"/>
              <c:tx>
                <c:strRef>
                  <c:f>'13 x 12'!$AB$43</c:f>
                  <c:strCache>
                    <c:ptCount val="1"/>
                    <c:pt idx="0">
                      <c:v>97 </c:v>
                    </c:pt>
                  </c:strCache>
                </c:strRef>
              </c:tx>
              <c:dLblPos val="t"/>
              <c:showLegendKey val="0"/>
              <c:showVal val="1"/>
              <c:showCatName val="0"/>
              <c:showSerName val="0"/>
              <c:showPercent val="0"/>
              <c:showBubbleSize val="0"/>
            </c:dLbl>
            <c:dLbl>
              <c:idx val="31"/>
              <c:tx>
                <c:strRef>
                  <c:f>'13 x 12'!$AB$44</c:f>
                  <c:strCache>
                    <c:ptCount val="1"/>
                    <c:pt idx="0">
                      <c:v>98 </c:v>
                    </c:pt>
                  </c:strCache>
                </c:strRef>
              </c:tx>
              <c:dLblPos val="t"/>
              <c:showLegendKey val="0"/>
              <c:showVal val="1"/>
              <c:showCatName val="0"/>
              <c:showSerName val="0"/>
              <c:showPercent val="0"/>
              <c:showBubbleSize val="0"/>
            </c:dLbl>
            <c:dLbl>
              <c:idx val="32"/>
              <c:tx>
                <c:strRef>
                  <c:f>'13 x 12'!$AB$45</c:f>
                  <c:strCache>
                    <c:ptCount val="1"/>
                    <c:pt idx="0">
                      <c:v>99 </c:v>
                    </c:pt>
                  </c:strCache>
                </c:strRef>
              </c:tx>
              <c:dLblPos val="t"/>
              <c:showLegendKey val="0"/>
              <c:showVal val="1"/>
              <c:showCatName val="0"/>
              <c:showSerName val="0"/>
              <c:showPercent val="0"/>
              <c:showBubbleSize val="0"/>
            </c:dLbl>
            <c:dLbl>
              <c:idx val="33"/>
              <c:tx>
                <c:strRef>
                  <c:f>'13 x 12'!$AB$46</c:f>
                  <c:strCache>
                    <c:ptCount val="1"/>
                    <c:pt idx="0">
                      <c:v>00</c:v>
                    </c:pt>
                  </c:strCache>
                </c:strRef>
              </c:tx>
              <c:dLblPos val="t"/>
              <c:showLegendKey val="0"/>
              <c:showVal val="1"/>
              <c:showCatName val="0"/>
              <c:showSerName val="0"/>
              <c:showPercent val="0"/>
              <c:showBubbleSize val="0"/>
            </c:dLbl>
            <c:dLbl>
              <c:idx val="34"/>
              <c:tx>
                <c:strRef>
                  <c:f>'13 x 12'!$AB$47</c:f>
                  <c:strCache>
                    <c:ptCount val="1"/>
                    <c:pt idx="0">
                      <c:v>01</c:v>
                    </c:pt>
                  </c:strCache>
                </c:strRef>
              </c:tx>
              <c:dLblPos val="t"/>
              <c:showLegendKey val="0"/>
              <c:showVal val="1"/>
              <c:showCatName val="0"/>
              <c:showSerName val="0"/>
              <c:showPercent val="0"/>
              <c:showBubbleSize val="0"/>
            </c:dLbl>
            <c:dLbl>
              <c:idx val="35"/>
              <c:tx>
                <c:strRef>
                  <c:f>'13 x 12'!$AB$48</c:f>
                  <c:strCache>
                    <c:ptCount val="1"/>
                    <c:pt idx="0">
                      <c:v>02</c:v>
                    </c:pt>
                  </c:strCache>
                </c:strRef>
              </c:tx>
              <c:dLblPos val="t"/>
              <c:showLegendKey val="0"/>
              <c:showVal val="1"/>
              <c:showCatName val="0"/>
              <c:showSerName val="0"/>
              <c:showPercent val="0"/>
              <c:showBubbleSize val="0"/>
            </c:dLbl>
            <c:dLbl>
              <c:idx val="36"/>
              <c:tx>
                <c:strRef>
                  <c:f>'13 x 12'!$AB$49</c:f>
                  <c:strCache>
                    <c:ptCount val="1"/>
                    <c:pt idx="0">
                      <c:v>03</c:v>
                    </c:pt>
                  </c:strCache>
                </c:strRef>
              </c:tx>
              <c:dLblPos val="t"/>
              <c:showLegendKey val="0"/>
              <c:showVal val="1"/>
              <c:showCatName val="0"/>
              <c:showSerName val="0"/>
              <c:showPercent val="0"/>
              <c:showBubbleSize val="0"/>
            </c:dLbl>
            <c:dLbl>
              <c:idx val="37"/>
              <c:tx>
                <c:strRef>
                  <c:f>'13 x 12'!$AB$50</c:f>
                  <c:strCache>
                    <c:ptCount val="1"/>
                    <c:pt idx="0">
                      <c:v>04</c:v>
                    </c:pt>
                  </c:strCache>
                </c:strRef>
              </c:tx>
              <c:dLblPos val="t"/>
              <c:showLegendKey val="0"/>
              <c:showVal val="1"/>
              <c:showCatName val="0"/>
              <c:showSerName val="0"/>
              <c:showPercent val="0"/>
              <c:showBubbleSize val="0"/>
            </c:dLbl>
            <c:dLbl>
              <c:idx val="38"/>
              <c:tx>
                <c:strRef>
                  <c:f>'13 x 12'!$AB$51</c:f>
                  <c:strCache>
                    <c:ptCount val="1"/>
                    <c:pt idx="0">
                      <c:v>05</c:v>
                    </c:pt>
                  </c:strCache>
                </c:strRef>
              </c:tx>
              <c:dLblPos val="t"/>
              <c:showLegendKey val="0"/>
              <c:showVal val="1"/>
              <c:showCatName val="0"/>
              <c:showSerName val="0"/>
              <c:showPercent val="0"/>
              <c:showBubbleSize val="0"/>
            </c:dLbl>
            <c:dLbl>
              <c:idx val="39"/>
              <c:tx>
                <c:strRef>
                  <c:f>'13 x 12'!$AB$52</c:f>
                  <c:strCache>
                    <c:ptCount val="1"/>
                    <c:pt idx="0">
                      <c:v>06</c:v>
                    </c:pt>
                  </c:strCache>
                </c:strRef>
              </c:tx>
              <c:dLblPos val="t"/>
              <c:showLegendKey val="0"/>
              <c:showVal val="1"/>
              <c:showCatName val="0"/>
              <c:showSerName val="0"/>
              <c:showPercent val="0"/>
              <c:showBubbleSize val="0"/>
            </c:dLbl>
            <c:dLbl>
              <c:idx val="40"/>
              <c:tx>
                <c:strRef>
                  <c:f>'13 x 12'!$AB$53</c:f>
                  <c:strCache>
                    <c:ptCount val="1"/>
                    <c:pt idx="0">
                      <c:v>07</c:v>
                    </c:pt>
                  </c:strCache>
                </c:strRef>
              </c:tx>
              <c:dLblPos val="t"/>
              <c:showLegendKey val="0"/>
              <c:showVal val="1"/>
              <c:showCatName val="0"/>
              <c:showSerName val="0"/>
              <c:showPercent val="0"/>
              <c:showBubbleSize val="0"/>
            </c:dLbl>
            <c:dLbl>
              <c:idx val="41"/>
              <c:tx>
                <c:strRef>
                  <c:f>'13 x 12'!$AB$54</c:f>
                  <c:strCache>
                    <c:ptCount val="1"/>
                    <c:pt idx="0">
                      <c:v>08</c:v>
                    </c:pt>
                  </c:strCache>
                </c:strRef>
              </c:tx>
              <c:dLblPos val="t"/>
              <c:showLegendKey val="0"/>
              <c:showVal val="1"/>
              <c:showCatName val="0"/>
              <c:showSerName val="0"/>
              <c:showPercent val="0"/>
              <c:showBubbleSize val="0"/>
            </c:dLbl>
            <c:dLbl>
              <c:idx val="42"/>
              <c:tx>
                <c:strRef>
                  <c:f>'13 x 12'!$AB$55</c:f>
                  <c:strCache>
                    <c:ptCount val="1"/>
                    <c:pt idx="0">
                      <c:v>09</c:v>
                    </c:pt>
                  </c:strCache>
                </c:strRef>
              </c:tx>
              <c:dLblPos val="t"/>
              <c:showLegendKey val="0"/>
              <c:showVal val="1"/>
              <c:showCatName val="0"/>
              <c:showSerName val="0"/>
              <c:showPercent val="0"/>
              <c:showBubbleSize val="0"/>
            </c:dLbl>
            <c:dLbl>
              <c:idx val="43"/>
              <c:tx>
                <c:strRef>
                  <c:f>'13 x 12'!$AB$56</c:f>
                  <c:strCache>
                    <c:ptCount val="1"/>
                    <c:pt idx="0">
                      <c:v>10</c:v>
                    </c:pt>
                  </c:strCache>
                </c:strRef>
              </c:tx>
              <c:dLblPos val="t"/>
              <c:showLegendKey val="0"/>
              <c:showVal val="1"/>
              <c:showCatName val="0"/>
              <c:showSerName val="0"/>
              <c:showPercent val="0"/>
              <c:showBubbleSize val="0"/>
            </c:dLbl>
            <c:dLbl>
              <c:idx val="44"/>
              <c:tx>
                <c:strRef>
                  <c:f>'13 x 12'!$AB$60</c:f>
                  <c:strCache>
                    <c:ptCount val="1"/>
                    <c:pt idx="0">
                      <c:v>11</c:v>
                    </c:pt>
                  </c:strCache>
                </c:strRef>
              </c:tx>
              <c:dLblPos val="t"/>
              <c:showLegendKey val="0"/>
              <c:showVal val="1"/>
              <c:showCatName val="0"/>
              <c:showSerName val="0"/>
              <c:showPercent val="0"/>
              <c:showBubbleSize val="0"/>
            </c:dLbl>
            <c:dLbl>
              <c:idx val="45"/>
              <c:tx>
                <c:strRef>
                  <c:f>'13 x 12'!$AB$61</c:f>
                  <c:strCache>
                    <c:ptCount val="1"/>
                  </c:strCache>
                </c:strRef>
              </c:tx>
              <c:dLblPos val="t"/>
              <c:showLegendKey val="0"/>
              <c:showVal val="1"/>
              <c:showCatName val="0"/>
              <c:showSerName val="0"/>
              <c:showPercent val="0"/>
              <c:showBubbleSize val="0"/>
            </c:dLbl>
            <c:dLbl>
              <c:idx val="46"/>
              <c:tx>
                <c:strRef>
                  <c:f>'13 x 12'!$AB$62</c:f>
                  <c:strCache>
                    <c:ptCount val="1"/>
                    <c:pt idx="0">
                      <c:v>12</c:v>
                    </c:pt>
                  </c:strCache>
                </c:strRef>
              </c:tx>
              <c:dLblPos val="t"/>
              <c:showLegendKey val="0"/>
              <c:showVal val="1"/>
              <c:showCatName val="0"/>
              <c:showSerName val="0"/>
              <c:showPercent val="0"/>
              <c:showBubbleSize val="0"/>
            </c:dLbl>
            <c:txPr>
              <a:bodyPr/>
              <a:lstStyle/>
              <a:p>
                <a:pPr>
                  <a:defRPr sz="1200"/>
                </a:pPr>
                <a:endParaRPr lang="en-US"/>
              </a:p>
            </c:txPr>
            <c:showLegendKey val="0"/>
            <c:showVal val="1"/>
            <c:showCatName val="0"/>
            <c:showSerName val="0"/>
            <c:showPercent val="0"/>
            <c:showBubbleSize val="0"/>
            <c:showLeaderLines val="0"/>
          </c:dLbls>
          <c:trendline>
            <c:spPr>
              <a:ln w="25400">
                <a:solidFill>
                  <a:srgbClr val="000000"/>
                </a:solidFill>
                <a:prstDash val="solid"/>
              </a:ln>
            </c:spPr>
            <c:trendlineType val="linear"/>
            <c:dispRSqr val="1"/>
            <c:dispEq val="1"/>
            <c:trendlineLbl>
              <c:layout>
                <c:manualLayout>
                  <c:x val="-0.48348800901624461"/>
                  <c:y val="-5.6347932044160803E-2"/>
                </c:manualLayout>
              </c:layout>
              <c:tx>
                <c:rich>
                  <a:bodyPr/>
                  <a:lstStyle/>
                  <a:p>
                    <a:pPr>
                      <a:defRPr sz="1100" b="0" i="0" u="none" strike="noStrike" baseline="0">
                        <a:solidFill>
                          <a:srgbClr val="000000"/>
                        </a:solidFill>
                        <a:latin typeface="Times New Roman"/>
                        <a:ea typeface="Times New Roman"/>
                        <a:cs typeface="Times New Roman"/>
                      </a:defRPr>
                    </a:pPr>
                    <a:r>
                      <a:rPr lang="en-US" sz="1200" b="0" i="0" u="none" strike="noStrike" baseline="0">
                        <a:solidFill>
                          <a:srgbClr val="000000"/>
                        </a:solidFill>
                        <a:latin typeface="Times New Roman"/>
                        <a:cs typeface="Times New Roman"/>
                      </a:rPr>
                      <a:t>y = 2.5639x + 468243</a:t>
                    </a:r>
                  </a:p>
                  <a:p>
                    <a:pPr>
                      <a:defRPr sz="1100" b="0" i="0" u="none" strike="noStrike" baseline="0">
                        <a:solidFill>
                          <a:srgbClr val="000000"/>
                        </a:solidFill>
                        <a:latin typeface="Times New Roman"/>
                        <a:ea typeface="Times New Roman"/>
                        <a:cs typeface="Times New Roman"/>
                      </a:defRPr>
                    </a:pPr>
                    <a:r>
                      <a:rPr lang="en-US" sz="1200" b="0" i="0" u="none" strike="noStrike" baseline="0">
                        <a:solidFill>
                          <a:srgbClr val="000000"/>
                        </a:solidFill>
                        <a:latin typeface="Times New Roman"/>
                        <a:cs typeface="Times New Roman"/>
                      </a:rPr>
                      <a:t>R</a:t>
                    </a:r>
                    <a:r>
                      <a:rPr lang="en-US" sz="1200" b="0" i="0" u="none" strike="noStrike" baseline="30000">
                        <a:solidFill>
                          <a:srgbClr val="000000"/>
                        </a:solidFill>
                        <a:latin typeface="Times New Roman"/>
                        <a:cs typeface="Times New Roman"/>
                      </a:rPr>
                      <a:t>2</a:t>
                    </a:r>
                    <a:r>
                      <a:rPr lang="en-US" sz="1200" b="0" i="0" u="none" strike="noStrike" baseline="0">
                        <a:solidFill>
                          <a:srgbClr val="000000"/>
                        </a:solidFill>
                        <a:latin typeface="Times New Roman"/>
                        <a:cs typeface="Times New Roman"/>
                      </a:rPr>
                      <a:t> = 0.498</a:t>
                    </a:r>
                  </a:p>
                </c:rich>
              </c:tx>
              <c:numFmt formatCode="General" sourceLinked="0"/>
              <c:spPr>
                <a:noFill/>
                <a:ln w="25400">
                  <a:noFill/>
                </a:ln>
              </c:spPr>
            </c:trendlineLbl>
          </c:trendline>
          <c:xVal>
            <c:numRef>
              <c:f>'13 x 12'!$V$13:$V$62</c:f>
              <c:numCache>
                <c:formatCode>#,##0_);\(#,##0\)</c:formatCode>
                <c:ptCount val="50"/>
                <c:pt idx="0">
                  <c:v>102401.66367310109</c:v>
                </c:pt>
                <c:pt idx="1">
                  <c:v>97592.469650151805</c:v>
                </c:pt>
                <c:pt idx="2">
                  <c:v>290718.45227450889</c:v>
                </c:pt>
                <c:pt idx="3">
                  <c:v>386377.08528941998</c:v>
                </c:pt>
                <c:pt idx="4">
                  <c:v>302159.62071066484</c:v>
                </c:pt>
                <c:pt idx="5">
                  <c:v>97321.711125474932</c:v>
                </c:pt>
                <c:pt idx="6">
                  <c:v>145881.52486171451</c:v>
                </c:pt>
                <c:pt idx="7">
                  <c:v>101514.29846521815</c:v>
                </c:pt>
                <c:pt idx="8">
                  <c:v>83934.462420078504</c:v>
                </c:pt>
                <c:pt idx="9">
                  <c:v>48348.917227885802</c:v>
                </c:pt>
                <c:pt idx="10">
                  <c:v>140037.97254138521</c:v>
                </c:pt>
                <c:pt idx="11">
                  <c:v>30330.912651635219</c:v>
                </c:pt>
                <c:pt idx="12">
                  <c:v>154457.91935439411</c:v>
                </c:pt>
                <c:pt idx="13">
                  <c:v>68722.812745743839</c:v>
                </c:pt>
                <c:pt idx="14">
                  <c:v>173715.68474284798</c:v>
                </c:pt>
                <c:pt idx="15">
                  <c:v>135148.94242353513</c:v>
                </c:pt>
                <c:pt idx="16">
                  <c:v>359995.48750384717</c:v>
                </c:pt>
                <c:pt idx="17">
                  <c:v>346502.19282529014</c:v>
                </c:pt>
                <c:pt idx="18">
                  <c:v>203458.33386630402</c:v>
                </c:pt>
                <c:pt idx="19">
                  <c:v>157083.49997006214</c:v>
                </c:pt>
                <c:pt idx="20">
                  <c:v>292198.40738779912</c:v>
                </c:pt>
                <c:pt idx="21">
                  <c:v>113889.25746653602</c:v>
                </c:pt>
                <c:pt idx="22">
                  <c:v>294557.28228182066</c:v>
                </c:pt>
                <c:pt idx="23">
                  <c:v>240741.58041960336</c:v>
                </c:pt>
                <c:pt idx="24">
                  <c:v>283682.55642391811</c:v>
                </c:pt>
                <c:pt idx="25">
                  <c:v>229875.14425105081</c:v>
                </c:pt>
                <c:pt idx="26">
                  <c:v>237957.34811608869</c:v>
                </c:pt>
                <c:pt idx="27">
                  <c:v>249913.77094685714</c:v>
                </c:pt>
                <c:pt idx="28">
                  <c:v>210751.78888782303</c:v>
                </c:pt>
                <c:pt idx="29">
                  <c:v>443740.93051869422</c:v>
                </c:pt>
                <c:pt idx="30">
                  <c:v>505425.03393203206</c:v>
                </c:pt>
                <c:pt idx="31">
                  <c:v>247453.35635972215</c:v>
                </c:pt>
                <c:pt idx="32">
                  <c:v>271467.29571051238</c:v>
                </c:pt>
                <c:pt idx="33">
                  <c:v>219305.37513567525</c:v>
                </c:pt>
                <c:pt idx="34">
                  <c:v>76308.890082196463</c:v>
                </c:pt>
                <c:pt idx="35">
                  <c:v>100643.96414584623</c:v>
                </c:pt>
                <c:pt idx="36">
                  <c:v>359050.78446500207</c:v>
                </c:pt>
                <c:pt idx="37">
                  <c:v>272182.51143379207</c:v>
                </c:pt>
                <c:pt idx="38">
                  <c:v>501789.11599463865</c:v>
                </c:pt>
                <c:pt idx="39">
                  <c:v>258148.88316457791</c:v>
                </c:pt>
                <c:pt idx="40">
                  <c:v>401156.89491228049</c:v>
                </c:pt>
                <c:pt idx="41">
                  <c:v>144497.9544226641</c:v>
                </c:pt>
                <c:pt idx="42">
                  <c:v>103350.61858821202</c:v>
                </c:pt>
                <c:pt idx="43">
                  <c:v>348675.14452879829</c:v>
                </c:pt>
                <c:pt idx="44">
                  <c:v>409775.58032286481</c:v>
                </c:pt>
                <c:pt idx="45">
                  <c:v>442676.75714160182</c:v>
                </c:pt>
                <c:pt idx="46">
                  <c:v>456063.26080517849</c:v>
                </c:pt>
                <c:pt idx="47">
                  <c:v>650733.61710635398</c:v>
                </c:pt>
                <c:pt idx="49">
                  <c:v>696926.54247166798</c:v>
                </c:pt>
              </c:numCache>
            </c:numRef>
          </c:xVal>
          <c:yVal>
            <c:numRef>
              <c:f>'13 x 12'!$X$13:$X$62</c:f>
              <c:numCache>
                <c:formatCode>#,##0_);\(#,##0\)</c:formatCode>
                <c:ptCount val="50"/>
                <c:pt idx="0">
                  <c:v>560800.76741469896</c:v>
                </c:pt>
                <c:pt idx="1">
                  <c:v>491920.16191207559</c:v>
                </c:pt>
                <c:pt idx="2">
                  <c:v>836133.8820333922</c:v>
                </c:pt>
                <c:pt idx="3">
                  <c:v>1126848.439217363</c:v>
                </c:pt>
                <c:pt idx="4">
                  <c:v>886578.61449924554</c:v>
                </c:pt>
                <c:pt idx="5">
                  <c:v>707854.19432154007</c:v>
                </c:pt>
                <c:pt idx="6">
                  <c:v>592986.4878251045</c:v>
                </c:pt>
                <c:pt idx="7">
                  <c:v>638486.34876982134</c:v>
                </c:pt>
                <c:pt idx="8">
                  <c:v>346614.00262167363</c:v>
                </c:pt>
                <c:pt idx="9">
                  <c:v>940919.76351097296</c:v>
                </c:pt>
                <c:pt idx="10">
                  <c:v>846188.38728043251</c:v>
                </c:pt>
                <c:pt idx="11">
                  <c:v>297364.96532358415</c:v>
                </c:pt>
                <c:pt idx="12">
                  <c:v>442734.39909796033</c:v>
                </c:pt>
                <c:pt idx="13">
                  <c:v>410835.62987088464</c:v>
                </c:pt>
                <c:pt idx="14">
                  <c:v>897075.92530656559</c:v>
                </c:pt>
                <c:pt idx="15">
                  <c:v>1351823.9406582871</c:v>
                </c:pt>
                <c:pt idx="16">
                  <c:v>817109.74979398493</c:v>
                </c:pt>
                <c:pt idx="17">
                  <c:v>1424421.7932741994</c:v>
                </c:pt>
                <c:pt idx="18">
                  <c:v>1044206.836082815</c:v>
                </c:pt>
                <c:pt idx="19">
                  <c:v>729707.86718836357</c:v>
                </c:pt>
                <c:pt idx="20">
                  <c:v>1361112.3412895144</c:v>
                </c:pt>
                <c:pt idx="21">
                  <c:v>536879.18023254443</c:v>
                </c:pt>
                <c:pt idx="22">
                  <c:v>1012944.0742998301</c:v>
                </c:pt>
                <c:pt idx="23">
                  <c:v>641426.45512191299</c:v>
                </c:pt>
                <c:pt idx="24">
                  <c:v>1292395.1381037389</c:v>
                </c:pt>
                <c:pt idx="25">
                  <c:v>1075295.1477904324</c:v>
                </c:pt>
                <c:pt idx="26">
                  <c:v>1329979.1552080857</c:v>
                </c:pt>
                <c:pt idx="27">
                  <c:v>1332570.2372110838</c:v>
                </c:pt>
                <c:pt idx="28">
                  <c:v>1060308.8407004261</c:v>
                </c:pt>
                <c:pt idx="29">
                  <c:v>1989184.4640360922</c:v>
                </c:pt>
                <c:pt idx="30">
                  <c:v>2415249.6642813412</c:v>
                </c:pt>
                <c:pt idx="31">
                  <c:v>1112912.7648551823</c:v>
                </c:pt>
                <c:pt idx="32">
                  <c:v>1216630.2738301605</c:v>
                </c:pt>
                <c:pt idx="33">
                  <c:v>929769.82433363562</c:v>
                </c:pt>
                <c:pt idx="34">
                  <c:v>1671044.5816115239</c:v>
                </c:pt>
                <c:pt idx="35">
                  <c:v>1250886.8726059287</c:v>
                </c:pt>
                <c:pt idx="36">
                  <c:v>1379966.5856725546</c:v>
                </c:pt>
                <c:pt idx="37">
                  <c:v>996194.75347909459</c:v>
                </c:pt>
                <c:pt idx="38">
                  <c:v>1434375.124038063</c:v>
                </c:pt>
                <c:pt idx="39">
                  <c:v>1472393.5551385009</c:v>
                </c:pt>
                <c:pt idx="40">
                  <c:v>2281728.634522045</c:v>
                </c:pt>
                <c:pt idx="41">
                  <c:v>796157.21431067027</c:v>
                </c:pt>
                <c:pt idx="42">
                  <c:v>940457.62252988853</c:v>
                </c:pt>
                <c:pt idx="43">
                  <c:v>730494.56928830943</c:v>
                </c:pt>
                <c:pt idx="44">
                  <c:v>1832418.5211423838</c:v>
                </c:pt>
                <c:pt idx="45">
                  <c:v>2079282.070390793</c:v>
                </c:pt>
                <c:pt idx="46">
                  <c:v>1478040.9578396173</c:v>
                </c:pt>
                <c:pt idx="47">
                  <c:v>1875957.0948617512</c:v>
                </c:pt>
              </c:numCache>
            </c:numRef>
          </c:yVal>
          <c:smooth val="0"/>
        </c:ser>
        <c:ser>
          <c:idx val="1"/>
          <c:order val="1"/>
          <c:tx>
            <c:v>L80%PI</c:v>
          </c:tx>
          <c:spPr>
            <a:ln w="25400">
              <a:solidFill>
                <a:srgbClr val="0000FF"/>
              </a:solidFill>
              <a:prstDash val="solid"/>
            </a:ln>
          </c:spPr>
          <c:marker>
            <c:symbol val="none"/>
          </c:marker>
          <c:xVal>
            <c:numRef>
              <c:f>'13 x 12'!$V$13:$V$62</c:f>
              <c:numCache>
                <c:formatCode>#,##0_);\(#,##0\)</c:formatCode>
                <c:ptCount val="50"/>
                <c:pt idx="0">
                  <c:v>102401.66367310109</c:v>
                </c:pt>
                <c:pt idx="1">
                  <c:v>97592.469650151805</c:v>
                </c:pt>
                <c:pt idx="2">
                  <c:v>290718.45227450889</c:v>
                </c:pt>
                <c:pt idx="3">
                  <c:v>386377.08528941998</c:v>
                </c:pt>
                <c:pt idx="4">
                  <c:v>302159.62071066484</c:v>
                </c:pt>
                <c:pt idx="5">
                  <c:v>97321.711125474932</c:v>
                </c:pt>
                <c:pt idx="6">
                  <c:v>145881.52486171451</c:v>
                </c:pt>
                <c:pt idx="7">
                  <c:v>101514.29846521815</c:v>
                </c:pt>
                <c:pt idx="8">
                  <c:v>83934.462420078504</c:v>
                </c:pt>
                <c:pt idx="9">
                  <c:v>48348.917227885802</c:v>
                </c:pt>
                <c:pt idx="10">
                  <c:v>140037.97254138521</c:v>
                </c:pt>
                <c:pt idx="11">
                  <c:v>30330.912651635219</c:v>
                </c:pt>
                <c:pt idx="12">
                  <c:v>154457.91935439411</c:v>
                </c:pt>
                <c:pt idx="13">
                  <c:v>68722.812745743839</c:v>
                </c:pt>
                <c:pt idx="14">
                  <c:v>173715.68474284798</c:v>
                </c:pt>
                <c:pt idx="15">
                  <c:v>135148.94242353513</c:v>
                </c:pt>
                <c:pt idx="16">
                  <c:v>359995.48750384717</c:v>
                </c:pt>
                <c:pt idx="17">
                  <c:v>346502.19282529014</c:v>
                </c:pt>
                <c:pt idx="18">
                  <c:v>203458.33386630402</c:v>
                </c:pt>
                <c:pt idx="19">
                  <c:v>157083.49997006214</c:v>
                </c:pt>
                <c:pt idx="20">
                  <c:v>292198.40738779912</c:v>
                </c:pt>
                <c:pt idx="21">
                  <c:v>113889.25746653602</c:v>
                </c:pt>
                <c:pt idx="22">
                  <c:v>294557.28228182066</c:v>
                </c:pt>
                <c:pt idx="23">
                  <c:v>240741.58041960336</c:v>
                </c:pt>
                <c:pt idx="24">
                  <c:v>283682.55642391811</c:v>
                </c:pt>
                <c:pt idx="25">
                  <c:v>229875.14425105081</c:v>
                </c:pt>
                <c:pt idx="26">
                  <c:v>237957.34811608869</c:v>
                </c:pt>
                <c:pt idx="27">
                  <c:v>249913.77094685714</c:v>
                </c:pt>
                <c:pt idx="28">
                  <c:v>210751.78888782303</c:v>
                </c:pt>
                <c:pt idx="29">
                  <c:v>443740.93051869422</c:v>
                </c:pt>
                <c:pt idx="30">
                  <c:v>505425.03393203206</c:v>
                </c:pt>
                <c:pt idx="31">
                  <c:v>247453.35635972215</c:v>
                </c:pt>
                <c:pt idx="32">
                  <c:v>271467.29571051238</c:v>
                </c:pt>
                <c:pt idx="33">
                  <c:v>219305.37513567525</c:v>
                </c:pt>
                <c:pt idx="34">
                  <c:v>76308.890082196463</c:v>
                </c:pt>
                <c:pt idx="35">
                  <c:v>100643.96414584623</c:v>
                </c:pt>
                <c:pt idx="36">
                  <c:v>359050.78446500207</c:v>
                </c:pt>
                <c:pt idx="37">
                  <c:v>272182.51143379207</c:v>
                </c:pt>
                <c:pt idx="38">
                  <c:v>501789.11599463865</c:v>
                </c:pt>
                <c:pt idx="39">
                  <c:v>258148.88316457791</c:v>
                </c:pt>
                <c:pt idx="40">
                  <c:v>401156.89491228049</c:v>
                </c:pt>
                <c:pt idx="41">
                  <c:v>144497.9544226641</c:v>
                </c:pt>
                <c:pt idx="42">
                  <c:v>103350.61858821202</c:v>
                </c:pt>
                <c:pt idx="43">
                  <c:v>348675.14452879829</c:v>
                </c:pt>
                <c:pt idx="44">
                  <c:v>409775.58032286481</c:v>
                </c:pt>
                <c:pt idx="45">
                  <c:v>442676.75714160182</c:v>
                </c:pt>
                <c:pt idx="46">
                  <c:v>456063.26080517849</c:v>
                </c:pt>
                <c:pt idx="47">
                  <c:v>650733.61710635398</c:v>
                </c:pt>
                <c:pt idx="49">
                  <c:v>696926.54247166798</c:v>
                </c:pt>
              </c:numCache>
            </c:numRef>
          </c:xVal>
          <c:yVal>
            <c:numRef>
              <c:f>'13 x 12'!$Y$13:$Y$62</c:f>
              <c:numCache>
                <c:formatCode>#,##0_);\(#,##0\)</c:formatCode>
                <c:ptCount val="50"/>
                <c:pt idx="0">
                  <c:v>259473.66739920434</c:v>
                </c:pt>
                <c:pt idx="1">
                  <c:v>247095.79376691533</c:v>
                </c:pt>
                <c:pt idx="2">
                  <c:v>744162.24536537833</c:v>
                </c:pt>
                <c:pt idx="3">
                  <c:v>990367.83941000176</c:v>
                </c:pt>
                <c:pt idx="4">
                  <c:v>773609.45344903634</c:v>
                </c:pt>
                <c:pt idx="5">
                  <c:v>246398.91716195352</c:v>
                </c:pt>
                <c:pt idx="6">
                  <c:v>371381.86340333975</c:v>
                </c:pt>
                <c:pt idx="7">
                  <c:v>257189.7723522482</c:v>
                </c:pt>
                <c:pt idx="8">
                  <c:v>211942.89979840349</c:v>
                </c:pt>
                <c:pt idx="9">
                  <c:v>120353.04515266663</c:v>
                </c:pt>
                <c:pt idx="10">
                  <c:v>356341.76482558518</c:v>
                </c:pt>
                <c:pt idx="11">
                  <c:v>73978.417161662132</c:v>
                </c:pt>
                <c:pt idx="12">
                  <c:v>393455.73414851411</c:v>
                </c:pt>
                <c:pt idx="13">
                  <c:v>172791.25058045494</c:v>
                </c:pt>
                <c:pt idx="14">
                  <c:v>443021.25079871749</c:v>
                </c:pt>
                <c:pt idx="15">
                  <c:v>343758.40954933211</c:v>
                </c:pt>
                <c:pt idx="16">
                  <c:v>922467.04729194159</c:v>
                </c:pt>
                <c:pt idx="17">
                  <c:v>887738.08946295583</c:v>
                </c:pt>
                <c:pt idx="18">
                  <c:v>519572.69592296286</c:v>
                </c:pt>
                <c:pt idx="19">
                  <c:v>400213.43718919868</c:v>
                </c:pt>
                <c:pt idx="20">
                  <c:v>747971.34462116833</c:v>
                </c:pt>
                <c:pt idx="21">
                  <c:v>289040.36477836408</c:v>
                </c:pt>
                <c:pt idx="22">
                  <c:v>754042.60213609634</c:v>
                </c:pt>
                <c:pt idx="23">
                  <c:v>615532.08376134408</c:v>
                </c:pt>
                <c:pt idx="24">
                  <c:v>726053.30043344747</c:v>
                </c:pt>
                <c:pt idx="25">
                  <c:v>587564.11800952896</c:v>
                </c:pt>
                <c:pt idx="26">
                  <c:v>608366.0439943088</c:v>
                </c:pt>
                <c:pt idx="27">
                  <c:v>639139.41063063953</c:v>
                </c:pt>
                <c:pt idx="28">
                  <c:v>538344.54504536162</c:v>
                </c:pt>
                <c:pt idx="29">
                  <c:v>1138010.5470907167</c:v>
                </c:pt>
                <c:pt idx="30">
                  <c:v>1296772.708385908</c:v>
                </c:pt>
                <c:pt idx="31">
                  <c:v>632806.81088580296</c:v>
                </c:pt>
                <c:pt idx="32">
                  <c:v>694613.73846641404</c:v>
                </c:pt>
                <c:pt idx="33">
                  <c:v>560359.7120720126</c:v>
                </c:pt>
                <c:pt idx="34">
                  <c:v>192316.24919504556</c:v>
                </c:pt>
                <c:pt idx="35">
                  <c:v>254949.71130010055</c:v>
                </c:pt>
                <c:pt idx="36">
                  <c:v>920035.57649266336</c:v>
                </c:pt>
                <c:pt idx="37">
                  <c:v>696454.55624177039</c:v>
                </c:pt>
                <c:pt idx="38">
                  <c:v>1287414.6054373332</c:v>
                </c:pt>
                <c:pt idx="39">
                  <c:v>660334.89118148561</c:v>
                </c:pt>
                <c:pt idx="40">
                  <c:v>1028408.0213922759</c:v>
                </c:pt>
                <c:pt idx="41">
                  <c:v>367820.83842197829</c:v>
                </c:pt>
                <c:pt idx="42">
                  <c:v>261916.08165114152</c:v>
                </c:pt>
                <c:pt idx="43">
                  <c:v>893330.81902777299</c:v>
                </c:pt>
                <c:pt idx="44">
                  <c:v>1050590.7402386335</c:v>
                </c:pt>
                <c:pt idx="45">
                  <c:v>1135271.5842787279</c:v>
                </c:pt>
                <c:pt idx="46">
                  <c:v>1169725.6840582811</c:v>
                </c:pt>
                <c:pt idx="47">
                  <c:v>1670767.0350102475</c:v>
                </c:pt>
                <c:pt idx="49">
                  <c:v>1790430.3751309505</c:v>
                </c:pt>
              </c:numCache>
            </c:numRef>
          </c:yVal>
          <c:smooth val="0"/>
        </c:ser>
        <c:ser>
          <c:idx val="2"/>
          <c:order val="2"/>
          <c:tx>
            <c:v>U80%PI</c:v>
          </c:tx>
          <c:spPr>
            <a:ln w="25400">
              <a:solidFill>
                <a:srgbClr val="0000FF"/>
              </a:solidFill>
              <a:prstDash val="sysDash"/>
            </a:ln>
          </c:spPr>
          <c:marker>
            <c:symbol val="none"/>
          </c:marker>
          <c:xVal>
            <c:numRef>
              <c:f>'13 x 12'!$V$13:$V$62</c:f>
              <c:numCache>
                <c:formatCode>#,##0_);\(#,##0\)</c:formatCode>
                <c:ptCount val="50"/>
                <c:pt idx="0">
                  <c:v>102401.66367310109</c:v>
                </c:pt>
                <c:pt idx="1">
                  <c:v>97592.469650151805</c:v>
                </c:pt>
                <c:pt idx="2">
                  <c:v>290718.45227450889</c:v>
                </c:pt>
                <c:pt idx="3">
                  <c:v>386377.08528941998</c:v>
                </c:pt>
                <c:pt idx="4">
                  <c:v>302159.62071066484</c:v>
                </c:pt>
                <c:pt idx="5">
                  <c:v>97321.711125474932</c:v>
                </c:pt>
                <c:pt idx="6">
                  <c:v>145881.52486171451</c:v>
                </c:pt>
                <c:pt idx="7">
                  <c:v>101514.29846521815</c:v>
                </c:pt>
                <c:pt idx="8">
                  <c:v>83934.462420078504</c:v>
                </c:pt>
                <c:pt idx="9">
                  <c:v>48348.917227885802</c:v>
                </c:pt>
                <c:pt idx="10">
                  <c:v>140037.97254138521</c:v>
                </c:pt>
                <c:pt idx="11">
                  <c:v>30330.912651635219</c:v>
                </c:pt>
                <c:pt idx="12">
                  <c:v>154457.91935439411</c:v>
                </c:pt>
                <c:pt idx="13">
                  <c:v>68722.812745743839</c:v>
                </c:pt>
                <c:pt idx="14">
                  <c:v>173715.68474284798</c:v>
                </c:pt>
                <c:pt idx="15">
                  <c:v>135148.94242353513</c:v>
                </c:pt>
                <c:pt idx="16">
                  <c:v>359995.48750384717</c:v>
                </c:pt>
                <c:pt idx="17">
                  <c:v>346502.19282529014</c:v>
                </c:pt>
                <c:pt idx="18">
                  <c:v>203458.33386630402</c:v>
                </c:pt>
                <c:pt idx="19">
                  <c:v>157083.49997006214</c:v>
                </c:pt>
                <c:pt idx="20">
                  <c:v>292198.40738779912</c:v>
                </c:pt>
                <c:pt idx="21">
                  <c:v>113889.25746653602</c:v>
                </c:pt>
                <c:pt idx="22">
                  <c:v>294557.28228182066</c:v>
                </c:pt>
                <c:pt idx="23">
                  <c:v>240741.58041960336</c:v>
                </c:pt>
                <c:pt idx="24">
                  <c:v>283682.55642391811</c:v>
                </c:pt>
                <c:pt idx="25">
                  <c:v>229875.14425105081</c:v>
                </c:pt>
                <c:pt idx="26">
                  <c:v>237957.34811608869</c:v>
                </c:pt>
                <c:pt idx="27">
                  <c:v>249913.77094685714</c:v>
                </c:pt>
                <c:pt idx="28">
                  <c:v>210751.78888782303</c:v>
                </c:pt>
                <c:pt idx="29">
                  <c:v>443740.93051869422</c:v>
                </c:pt>
                <c:pt idx="30">
                  <c:v>505425.03393203206</c:v>
                </c:pt>
                <c:pt idx="31">
                  <c:v>247453.35635972215</c:v>
                </c:pt>
                <c:pt idx="32">
                  <c:v>271467.29571051238</c:v>
                </c:pt>
                <c:pt idx="33">
                  <c:v>219305.37513567525</c:v>
                </c:pt>
                <c:pt idx="34">
                  <c:v>76308.890082196463</c:v>
                </c:pt>
                <c:pt idx="35">
                  <c:v>100643.96414584623</c:v>
                </c:pt>
                <c:pt idx="36">
                  <c:v>359050.78446500207</c:v>
                </c:pt>
                <c:pt idx="37">
                  <c:v>272182.51143379207</c:v>
                </c:pt>
                <c:pt idx="38">
                  <c:v>501789.11599463865</c:v>
                </c:pt>
                <c:pt idx="39">
                  <c:v>258148.88316457791</c:v>
                </c:pt>
                <c:pt idx="40">
                  <c:v>401156.89491228049</c:v>
                </c:pt>
                <c:pt idx="41">
                  <c:v>144497.9544226641</c:v>
                </c:pt>
                <c:pt idx="42">
                  <c:v>103350.61858821202</c:v>
                </c:pt>
                <c:pt idx="43">
                  <c:v>348675.14452879829</c:v>
                </c:pt>
                <c:pt idx="44">
                  <c:v>409775.58032286481</c:v>
                </c:pt>
                <c:pt idx="45">
                  <c:v>442676.75714160182</c:v>
                </c:pt>
                <c:pt idx="46">
                  <c:v>456063.26080517849</c:v>
                </c:pt>
                <c:pt idx="47">
                  <c:v>650733.61710635398</c:v>
                </c:pt>
                <c:pt idx="49">
                  <c:v>696926.54247166798</c:v>
                </c:pt>
              </c:numCache>
            </c:numRef>
          </c:xVal>
          <c:yVal>
            <c:numRef>
              <c:f>'13 x 12'!$Z$13:$Z$62</c:f>
              <c:numCache>
                <c:formatCode>#,##0_);\(#,##0\)</c:formatCode>
                <c:ptCount val="50"/>
                <c:pt idx="0">
                  <c:v>1207948.6905783296</c:v>
                </c:pt>
                <c:pt idx="1">
                  <c:v>1195570.8169460406</c:v>
                </c:pt>
                <c:pt idx="2">
                  <c:v>1692637.2685445035</c:v>
                </c:pt>
                <c:pt idx="3">
                  <c:v>1938842.8625891269</c:v>
                </c:pt>
                <c:pt idx="4">
                  <c:v>1722084.4766281615</c:v>
                </c:pt>
                <c:pt idx="5">
                  <c:v>1194873.9403410787</c:v>
                </c:pt>
                <c:pt idx="6">
                  <c:v>1319856.8865824649</c:v>
                </c:pt>
                <c:pt idx="7">
                  <c:v>1205664.7955313735</c:v>
                </c:pt>
                <c:pt idx="8">
                  <c:v>1160417.9229775288</c:v>
                </c:pt>
                <c:pt idx="9">
                  <c:v>1068828.068331792</c:v>
                </c:pt>
                <c:pt idx="10">
                  <c:v>1304816.7880047103</c:v>
                </c:pt>
                <c:pt idx="11">
                  <c:v>1022453.4403407874</c:v>
                </c:pt>
                <c:pt idx="12">
                  <c:v>1341930.7573276395</c:v>
                </c:pt>
                <c:pt idx="13">
                  <c:v>1121266.2737595802</c:v>
                </c:pt>
                <c:pt idx="14">
                  <c:v>1391496.2739778426</c:v>
                </c:pt>
                <c:pt idx="15">
                  <c:v>1292233.4327284573</c:v>
                </c:pt>
                <c:pt idx="16">
                  <c:v>1870942.070471067</c:v>
                </c:pt>
                <c:pt idx="17">
                  <c:v>1836213.112642081</c:v>
                </c:pt>
                <c:pt idx="18">
                  <c:v>1468047.7191020881</c:v>
                </c:pt>
                <c:pt idx="19">
                  <c:v>1348688.4603683241</c:v>
                </c:pt>
                <c:pt idx="20">
                  <c:v>1696446.3678002935</c:v>
                </c:pt>
                <c:pt idx="21">
                  <c:v>1237515.3879574894</c:v>
                </c:pt>
                <c:pt idx="22">
                  <c:v>1702517.6253152215</c:v>
                </c:pt>
                <c:pt idx="23">
                  <c:v>1564007.1069404692</c:v>
                </c:pt>
                <c:pt idx="24">
                  <c:v>1674528.3236125726</c:v>
                </c:pt>
                <c:pt idx="25">
                  <c:v>1536039.1411886541</c:v>
                </c:pt>
                <c:pt idx="26">
                  <c:v>1556841.067173434</c:v>
                </c:pt>
                <c:pt idx="27">
                  <c:v>1587614.4338097647</c:v>
                </c:pt>
                <c:pt idx="28">
                  <c:v>1486819.5682244869</c:v>
                </c:pt>
                <c:pt idx="29">
                  <c:v>2086485.5702698417</c:v>
                </c:pt>
                <c:pt idx="30">
                  <c:v>2245247.7315650331</c:v>
                </c:pt>
                <c:pt idx="31">
                  <c:v>1581281.8340649283</c:v>
                </c:pt>
                <c:pt idx="32">
                  <c:v>1643088.7616455392</c:v>
                </c:pt>
                <c:pt idx="33">
                  <c:v>1508834.735251138</c:v>
                </c:pt>
                <c:pt idx="34">
                  <c:v>1140791.2723741708</c:v>
                </c:pt>
                <c:pt idx="35">
                  <c:v>1203424.7344792257</c:v>
                </c:pt>
                <c:pt idx="36">
                  <c:v>1868510.5996717885</c:v>
                </c:pt>
                <c:pt idx="37">
                  <c:v>1644929.5794208958</c:v>
                </c:pt>
                <c:pt idx="38">
                  <c:v>2235889.6286164583</c:v>
                </c:pt>
                <c:pt idx="39">
                  <c:v>1608809.9143606108</c:v>
                </c:pt>
                <c:pt idx="40">
                  <c:v>1976883.0445714011</c:v>
                </c:pt>
                <c:pt idx="41">
                  <c:v>1316295.8616011036</c:v>
                </c:pt>
                <c:pt idx="42">
                  <c:v>1210391.1048302669</c:v>
                </c:pt>
                <c:pt idx="43">
                  <c:v>1841805.8422068981</c:v>
                </c:pt>
                <c:pt idx="44">
                  <c:v>1999065.7634177585</c:v>
                </c:pt>
                <c:pt idx="45">
                  <c:v>2083746.6074578529</c:v>
                </c:pt>
                <c:pt idx="46">
                  <c:v>2118200.7072374062</c:v>
                </c:pt>
                <c:pt idx="47">
                  <c:v>2619242.0581893725</c:v>
                </c:pt>
                <c:pt idx="49">
                  <c:v>2737360.8454476651</c:v>
                </c:pt>
              </c:numCache>
            </c:numRef>
          </c:yVal>
          <c:smooth val="0"/>
        </c:ser>
        <c:ser>
          <c:idx val="3"/>
          <c:order val="3"/>
          <c:tx>
            <c:v>FORECAST</c:v>
          </c:tx>
          <c:spPr>
            <a:ln w="3175">
              <a:solidFill>
                <a:srgbClr val="FF00FF"/>
              </a:solidFill>
              <a:prstDash val="solid"/>
            </a:ln>
          </c:spPr>
          <c:marker>
            <c:symbol val="square"/>
            <c:size val="10"/>
            <c:spPr>
              <a:solidFill>
                <a:srgbClr val="FF00FF"/>
              </a:solidFill>
              <a:ln>
                <a:solidFill>
                  <a:srgbClr val="000000"/>
                </a:solidFill>
                <a:prstDash val="solid"/>
              </a:ln>
            </c:spPr>
          </c:marker>
          <c:xVal>
            <c:numRef>
              <c:f>'13 x 12'!$V$13:$V$62</c:f>
              <c:numCache>
                <c:formatCode>#,##0_);\(#,##0\)</c:formatCode>
                <c:ptCount val="50"/>
                <c:pt idx="0">
                  <c:v>102401.66367310109</c:v>
                </c:pt>
                <c:pt idx="1">
                  <c:v>97592.469650151805</c:v>
                </c:pt>
                <c:pt idx="2">
                  <c:v>290718.45227450889</c:v>
                </c:pt>
                <c:pt idx="3">
                  <c:v>386377.08528941998</c:v>
                </c:pt>
                <c:pt idx="4">
                  <c:v>302159.62071066484</c:v>
                </c:pt>
                <c:pt idx="5">
                  <c:v>97321.711125474932</c:v>
                </c:pt>
                <c:pt idx="6">
                  <c:v>145881.52486171451</c:v>
                </c:pt>
                <c:pt idx="7">
                  <c:v>101514.29846521815</c:v>
                </c:pt>
                <c:pt idx="8">
                  <c:v>83934.462420078504</c:v>
                </c:pt>
                <c:pt idx="9">
                  <c:v>48348.917227885802</c:v>
                </c:pt>
                <c:pt idx="10">
                  <c:v>140037.97254138521</c:v>
                </c:pt>
                <c:pt idx="11">
                  <c:v>30330.912651635219</c:v>
                </c:pt>
                <c:pt idx="12">
                  <c:v>154457.91935439411</c:v>
                </c:pt>
                <c:pt idx="13">
                  <c:v>68722.812745743839</c:v>
                </c:pt>
                <c:pt idx="14">
                  <c:v>173715.68474284798</c:v>
                </c:pt>
                <c:pt idx="15">
                  <c:v>135148.94242353513</c:v>
                </c:pt>
                <c:pt idx="16">
                  <c:v>359995.48750384717</c:v>
                </c:pt>
                <c:pt idx="17">
                  <c:v>346502.19282529014</c:v>
                </c:pt>
                <c:pt idx="18">
                  <c:v>203458.33386630402</c:v>
                </c:pt>
                <c:pt idx="19">
                  <c:v>157083.49997006214</c:v>
                </c:pt>
                <c:pt idx="20">
                  <c:v>292198.40738779912</c:v>
                </c:pt>
                <c:pt idx="21">
                  <c:v>113889.25746653602</c:v>
                </c:pt>
                <c:pt idx="22">
                  <c:v>294557.28228182066</c:v>
                </c:pt>
                <c:pt idx="23">
                  <c:v>240741.58041960336</c:v>
                </c:pt>
                <c:pt idx="24">
                  <c:v>283682.55642391811</c:v>
                </c:pt>
                <c:pt idx="25">
                  <c:v>229875.14425105081</c:v>
                </c:pt>
                <c:pt idx="26">
                  <c:v>237957.34811608869</c:v>
                </c:pt>
                <c:pt idx="27">
                  <c:v>249913.77094685714</c:v>
                </c:pt>
                <c:pt idx="28">
                  <c:v>210751.78888782303</c:v>
                </c:pt>
                <c:pt idx="29">
                  <c:v>443740.93051869422</c:v>
                </c:pt>
                <c:pt idx="30">
                  <c:v>505425.03393203206</c:v>
                </c:pt>
                <c:pt idx="31">
                  <c:v>247453.35635972215</c:v>
                </c:pt>
                <c:pt idx="32">
                  <c:v>271467.29571051238</c:v>
                </c:pt>
                <c:pt idx="33">
                  <c:v>219305.37513567525</c:v>
                </c:pt>
                <c:pt idx="34">
                  <c:v>76308.890082196463</c:v>
                </c:pt>
                <c:pt idx="35">
                  <c:v>100643.96414584623</c:v>
                </c:pt>
                <c:pt idx="36">
                  <c:v>359050.78446500207</c:v>
                </c:pt>
                <c:pt idx="37">
                  <c:v>272182.51143379207</c:v>
                </c:pt>
                <c:pt idx="38">
                  <c:v>501789.11599463865</c:v>
                </c:pt>
                <c:pt idx="39">
                  <c:v>258148.88316457791</c:v>
                </c:pt>
                <c:pt idx="40">
                  <c:v>401156.89491228049</c:v>
                </c:pt>
                <c:pt idx="41">
                  <c:v>144497.9544226641</c:v>
                </c:pt>
                <c:pt idx="42">
                  <c:v>103350.61858821202</c:v>
                </c:pt>
                <c:pt idx="43">
                  <c:v>348675.14452879829</c:v>
                </c:pt>
                <c:pt idx="44">
                  <c:v>409775.58032286481</c:v>
                </c:pt>
                <c:pt idx="45">
                  <c:v>442676.75714160182</c:v>
                </c:pt>
                <c:pt idx="46">
                  <c:v>456063.26080517849</c:v>
                </c:pt>
                <c:pt idx="47">
                  <c:v>650733.61710635398</c:v>
                </c:pt>
                <c:pt idx="49">
                  <c:v>696926.54247166798</c:v>
                </c:pt>
              </c:numCache>
            </c:numRef>
          </c:xVal>
          <c:yVal>
            <c:numRef>
              <c:f>'13 x 12'!$AA$13:$AA$62</c:f>
              <c:numCache>
                <c:formatCode>General</c:formatCode>
                <c:ptCount val="50"/>
                <c:pt idx="49">
                  <c:v>2263895.6102893078</c:v>
                </c:pt>
              </c:numCache>
            </c:numRef>
          </c:yVal>
          <c:smooth val="0"/>
        </c:ser>
        <c:ser>
          <c:idx val="4"/>
          <c:order val="4"/>
          <c:tx>
            <c:v>Mean Age 1.3</c:v>
          </c:tx>
          <c:spPr>
            <a:ln w="12700">
              <a:solidFill>
                <a:srgbClr val="800080"/>
              </a:solidFill>
              <a:prstDash val="dash"/>
            </a:ln>
          </c:spPr>
          <c:marker>
            <c:symbol val="none"/>
          </c:marker>
          <c:xVal>
            <c:numRef>
              <c:f>'13 x 12'!$V$13:$V$62</c:f>
              <c:numCache>
                <c:formatCode>#,##0_);\(#,##0\)</c:formatCode>
                <c:ptCount val="50"/>
                <c:pt idx="0">
                  <c:v>102401.66367310109</c:v>
                </c:pt>
                <c:pt idx="1">
                  <c:v>97592.469650151805</c:v>
                </c:pt>
                <c:pt idx="2">
                  <c:v>290718.45227450889</c:v>
                </c:pt>
                <c:pt idx="3">
                  <c:v>386377.08528941998</c:v>
                </c:pt>
                <c:pt idx="4">
                  <c:v>302159.62071066484</c:v>
                </c:pt>
                <c:pt idx="5">
                  <c:v>97321.711125474932</c:v>
                </c:pt>
                <c:pt idx="6">
                  <c:v>145881.52486171451</c:v>
                </c:pt>
                <c:pt idx="7">
                  <c:v>101514.29846521815</c:v>
                </c:pt>
                <c:pt idx="8">
                  <c:v>83934.462420078504</c:v>
                </c:pt>
                <c:pt idx="9">
                  <c:v>48348.917227885802</c:v>
                </c:pt>
                <c:pt idx="10">
                  <c:v>140037.97254138521</c:v>
                </c:pt>
                <c:pt idx="11">
                  <c:v>30330.912651635219</c:v>
                </c:pt>
                <c:pt idx="12">
                  <c:v>154457.91935439411</c:v>
                </c:pt>
                <c:pt idx="13">
                  <c:v>68722.812745743839</c:v>
                </c:pt>
                <c:pt idx="14">
                  <c:v>173715.68474284798</c:v>
                </c:pt>
                <c:pt idx="15">
                  <c:v>135148.94242353513</c:v>
                </c:pt>
                <c:pt idx="16">
                  <c:v>359995.48750384717</c:v>
                </c:pt>
                <c:pt idx="17">
                  <c:v>346502.19282529014</c:v>
                </c:pt>
                <c:pt idx="18">
                  <c:v>203458.33386630402</c:v>
                </c:pt>
                <c:pt idx="19">
                  <c:v>157083.49997006214</c:v>
                </c:pt>
                <c:pt idx="20">
                  <c:v>292198.40738779912</c:v>
                </c:pt>
                <c:pt idx="21">
                  <c:v>113889.25746653602</c:v>
                </c:pt>
                <c:pt idx="22">
                  <c:v>294557.28228182066</c:v>
                </c:pt>
                <c:pt idx="23">
                  <c:v>240741.58041960336</c:v>
                </c:pt>
                <c:pt idx="24">
                  <c:v>283682.55642391811</c:v>
                </c:pt>
                <c:pt idx="25">
                  <c:v>229875.14425105081</c:v>
                </c:pt>
                <c:pt idx="26">
                  <c:v>237957.34811608869</c:v>
                </c:pt>
                <c:pt idx="27">
                  <c:v>249913.77094685714</c:v>
                </c:pt>
                <c:pt idx="28">
                  <c:v>210751.78888782303</c:v>
                </c:pt>
                <c:pt idx="29">
                  <c:v>443740.93051869422</c:v>
                </c:pt>
                <c:pt idx="30">
                  <c:v>505425.03393203206</c:v>
                </c:pt>
                <c:pt idx="31">
                  <c:v>247453.35635972215</c:v>
                </c:pt>
                <c:pt idx="32">
                  <c:v>271467.29571051238</c:v>
                </c:pt>
                <c:pt idx="33">
                  <c:v>219305.37513567525</c:v>
                </c:pt>
                <c:pt idx="34">
                  <c:v>76308.890082196463</c:v>
                </c:pt>
                <c:pt idx="35">
                  <c:v>100643.96414584623</c:v>
                </c:pt>
                <c:pt idx="36">
                  <c:v>359050.78446500207</c:v>
                </c:pt>
                <c:pt idx="37">
                  <c:v>272182.51143379207</c:v>
                </c:pt>
                <c:pt idx="38">
                  <c:v>501789.11599463865</c:v>
                </c:pt>
                <c:pt idx="39">
                  <c:v>258148.88316457791</c:v>
                </c:pt>
                <c:pt idx="40">
                  <c:v>401156.89491228049</c:v>
                </c:pt>
                <c:pt idx="41">
                  <c:v>144497.9544226641</c:v>
                </c:pt>
                <c:pt idx="42">
                  <c:v>103350.61858821202</c:v>
                </c:pt>
                <c:pt idx="43">
                  <c:v>348675.14452879829</c:v>
                </c:pt>
                <c:pt idx="44">
                  <c:v>409775.58032286481</c:v>
                </c:pt>
                <c:pt idx="45">
                  <c:v>442676.75714160182</c:v>
                </c:pt>
                <c:pt idx="46">
                  <c:v>456063.26080517849</c:v>
                </c:pt>
                <c:pt idx="47">
                  <c:v>650733.61710635398</c:v>
                </c:pt>
                <c:pt idx="49">
                  <c:v>696926.54247166798</c:v>
                </c:pt>
              </c:numCache>
            </c:numRef>
          </c:xVal>
          <c:yVal>
            <c:numRef>
              <c:f>'13 x 12'!$AC$13:$AC$62</c:f>
              <c:numCache>
                <c:formatCode>_(* #,##0_);_(* \(#,##0\);_(* "-"??_);_(@_)</c:formatCode>
                <c:ptCount val="50"/>
                <c:pt idx="0">
                  <c:v>1102430.580723501</c:v>
                </c:pt>
                <c:pt idx="1">
                  <c:v>1102430.580723501</c:v>
                </c:pt>
                <c:pt idx="2">
                  <c:v>1102430.580723501</c:v>
                </c:pt>
                <c:pt idx="3">
                  <c:v>1102430.580723501</c:v>
                </c:pt>
                <c:pt idx="4">
                  <c:v>1102430.580723501</c:v>
                </c:pt>
                <c:pt idx="5">
                  <c:v>1102430.580723501</c:v>
                </c:pt>
                <c:pt idx="6">
                  <c:v>1102430.580723501</c:v>
                </c:pt>
                <c:pt idx="7">
                  <c:v>1102430.580723501</c:v>
                </c:pt>
                <c:pt idx="8">
                  <c:v>1102430.580723501</c:v>
                </c:pt>
                <c:pt idx="9">
                  <c:v>1102430.580723501</c:v>
                </c:pt>
                <c:pt idx="10">
                  <c:v>1102430.580723501</c:v>
                </c:pt>
                <c:pt idx="11">
                  <c:v>1102430.580723501</c:v>
                </c:pt>
                <c:pt idx="12">
                  <c:v>1102430.580723501</c:v>
                </c:pt>
                <c:pt idx="13">
                  <c:v>1102430.580723501</c:v>
                </c:pt>
                <c:pt idx="14">
                  <c:v>1102430.580723501</c:v>
                </c:pt>
                <c:pt idx="15">
                  <c:v>1102430.580723501</c:v>
                </c:pt>
                <c:pt idx="16">
                  <c:v>1102430.580723501</c:v>
                </c:pt>
                <c:pt idx="17">
                  <c:v>1102430.580723501</c:v>
                </c:pt>
                <c:pt idx="18">
                  <c:v>1102430.580723501</c:v>
                </c:pt>
                <c:pt idx="19">
                  <c:v>1102430.580723501</c:v>
                </c:pt>
                <c:pt idx="20">
                  <c:v>1102430.580723501</c:v>
                </c:pt>
                <c:pt idx="21">
                  <c:v>1102430.580723501</c:v>
                </c:pt>
                <c:pt idx="22">
                  <c:v>1102430.580723501</c:v>
                </c:pt>
                <c:pt idx="23">
                  <c:v>1102430.580723501</c:v>
                </c:pt>
                <c:pt idx="24">
                  <c:v>1102430.580723501</c:v>
                </c:pt>
                <c:pt idx="25">
                  <c:v>1102430.580723501</c:v>
                </c:pt>
                <c:pt idx="26">
                  <c:v>1102430.580723501</c:v>
                </c:pt>
                <c:pt idx="27">
                  <c:v>1102430.580723501</c:v>
                </c:pt>
                <c:pt idx="28">
                  <c:v>1102430.580723501</c:v>
                </c:pt>
                <c:pt idx="29">
                  <c:v>1102430.580723501</c:v>
                </c:pt>
                <c:pt idx="30">
                  <c:v>1102430.580723501</c:v>
                </c:pt>
                <c:pt idx="31">
                  <c:v>1102430.580723501</c:v>
                </c:pt>
                <c:pt idx="32">
                  <c:v>1102430.580723501</c:v>
                </c:pt>
                <c:pt idx="33">
                  <c:v>1102430.580723501</c:v>
                </c:pt>
                <c:pt idx="34">
                  <c:v>1102430.580723501</c:v>
                </c:pt>
                <c:pt idx="35">
                  <c:v>1102430.580723501</c:v>
                </c:pt>
                <c:pt idx="36">
                  <c:v>1102430.580723501</c:v>
                </c:pt>
                <c:pt idx="37">
                  <c:v>1102430.580723501</c:v>
                </c:pt>
                <c:pt idx="38">
                  <c:v>1102430.580723501</c:v>
                </c:pt>
                <c:pt idx="39">
                  <c:v>1102430.580723501</c:v>
                </c:pt>
                <c:pt idx="40">
                  <c:v>1102430.580723501</c:v>
                </c:pt>
                <c:pt idx="41">
                  <c:v>1102430.580723501</c:v>
                </c:pt>
                <c:pt idx="42">
                  <c:v>1102430.580723501</c:v>
                </c:pt>
                <c:pt idx="43">
                  <c:v>1102430.580723501</c:v>
                </c:pt>
                <c:pt idx="44">
                  <c:v>1102430.580723501</c:v>
                </c:pt>
                <c:pt idx="45">
                  <c:v>1102430.580723501</c:v>
                </c:pt>
                <c:pt idx="46">
                  <c:v>1102430.580723501</c:v>
                </c:pt>
                <c:pt idx="47">
                  <c:v>1102430.580723501</c:v>
                </c:pt>
              </c:numCache>
            </c:numRef>
          </c:yVal>
          <c:smooth val="0"/>
        </c:ser>
        <c:dLbls>
          <c:showLegendKey val="0"/>
          <c:showVal val="0"/>
          <c:showCatName val="0"/>
          <c:showSerName val="0"/>
          <c:showPercent val="0"/>
          <c:showBubbleSize val="0"/>
        </c:dLbls>
        <c:axId val="367442176"/>
        <c:axId val="367456640"/>
      </c:scatterChart>
      <c:valAx>
        <c:axId val="367442176"/>
        <c:scaling>
          <c:orientation val="minMax"/>
        </c:scaling>
        <c:delete val="0"/>
        <c:axPos val="b"/>
        <c:title>
          <c:tx>
            <c:rich>
              <a:bodyPr/>
              <a:lstStyle/>
              <a:p>
                <a:pPr>
                  <a:defRPr sz="1200" b="0" i="0" u="none" strike="noStrike" baseline="0">
                    <a:solidFill>
                      <a:srgbClr val="000000"/>
                    </a:solidFill>
                    <a:latin typeface="SWISS"/>
                    <a:ea typeface="SWISS"/>
                    <a:cs typeface="SWISS"/>
                  </a:defRPr>
                </a:pPr>
                <a:r>
                  <a:rPr lang="en-US"/>
                  <a:t>Number of Age 1.2</a:t>
                </a:r>
              </a:p>
            </c:rich>
          </c:tx>
          <c:layout>
            <c:manualLayout>
              <c:xMode val="edge"/>
              <c:yMode val="edge"/>
              <c:x val="0.47482075350660852"/>
              <c:y val="0.92583916862790649"/>
            </c:manualLayout>
          </c:layout>
          <c:overlay val="0"/>
          <c:spPr>
            <a:noFill/>
            <a:ln w="25400">
              <a:noFill/>
            </a:ln>
          </c:spPr>
        </c:title>
        <c:numFmt formatCode="#,##0_);\(#,##0\)" sourceLinked="1"/>
        <c:majorTickMark val="in"/>
        <c:minorTickMark val="none"/>
        <c:tickLblPos val="low"/>
        <c:spPr>
          <a:ln w="12700">
            <a:solidFill>
              <a:srgbClr val="000000"/>
            </a:solidFill>
            <a:prstDash val="solid"/>
          </a:ln>
        </c:spPr>
        <c:txPr>
          <a:bodyPr rot="0" vert="horz"/>
          <a:lstStyle/>
          <a:p>
            <a:pPr>
              <a:defRPr sz="1200" b="0" i="0" u="none" strike="noStrike" baseline="0">
                <a:solidFill>
                  <a:srgbClr val="000000"/>
                </a:solidFill>
                <a:latin typeface="SWISS"/>
                <a:ea typeface="SWISS"/>
                <a:cs typeface="SWISS"/>
              </a:defRPr>
            </a:pPr>
            <a:endParaRPr lang="en-US"/>
          </a:p>
        </c:txPr>
        <c:crossAx val="367456640"/>
        <c:crosses val="autoZero"/>
        <c:crossBetween val="midCat"/>
      </c:valAx>
      <c:valAx>
        <c:axId val="367456640"/>
        <c:scaling>
          <c:orientation val="minMax"/>
          <c:min val="0"/>
        </c:scaling>
        <c:delete val="0"/>
        <c:axPos val="l"/>
        <c:title>
          <c:tx>
            <c:rich>
              <a:bodyPr/>
              <a:lstStyle/>
              <a:p>
                <a:pPr>
                  <a:defRPr sz="1400" b="0" i="0" u="none" strike="noStrike" baseline="0">
                    <a:solidFill>
                      <a:srgbClr val="000000"/>
                    </a:solidFill>
                    <a:latin typeface="SWISS"/>
                    <a:ea typeface="SWISS"/>
                    <a:cs typeface="SWISS"/>
                  </a:defRPr>
                </a:pPr>
                <a:r>
                  <a:rPr lang="en-US" sz="1400"/>
                  <a:t>Number of Sibling</a:t>
                </a:r>
                <a:r>
                  <a:rPr lang="en-US" sz="1400" baseline="0"/>
                  <a:t> </a:t>
                </a:r>
                <a:r>
                  <a:rPr lang="en-US" sz="1400"/>
                  <a:t>Age 1.3</a:t>
                </a:r>
              </a:p>
            </c:rich>
          </c:tx>
          <c:layout>
            <c:manualLayout>
              <c:xMode val="edge"/>
              <c:yMode val="edge"/>
              <c:x val="3.1806148806710913E-2"/>
              <c:y val="0.33333333333333331"/>
            </c:manualLayout>
          </c:layout>
          <c:overlay val="0"/>
          <c:spPr>
            <a:noFill/>
            <a:ln w="25400">
              <a:noFill/>
            </a:ln>
          </c:spPr>
        </c:title>
        <c:numFmt formatCode="#,##0_);\(#,##0\)" sourceLinked="1"/>
        <c:majorTickMark val="in"/>
        <c:minorTickMark val="none"/>
        <c:tickLblPos val="nextTo"/>
        <c:spPr>
          <a:ln w="12700">
            <a:solidFill>
              <a:srgbClr val="000000"/>
            </a:solidFill>
            <a:prstDash val="solid"/>
          </a:ln>
        </c:spPr>
        <c:txPr>
          <a:bodyPr rot="0" vert="horz"/>
          <a:lstStyle/>
          <a:p>
            <a:pPr>
              <a:defRPr sz="1200" b="0" i="0" u="none" strike="noStrike" baseline="0">
                <a:solidFill>
                  <a:srgbClr val="000000"/>
                </a:solidFill>
                <a:latin typeface="SWISS"/>
                <a:ea typeface="SWISS"/>
                <a:cs typeface="SWISS"/>
              </a:defRPr>
            </a:pPr>
            <a:endParaRPr lang="en-US"/>
          </a:p>
        </c:txPr>
        <c:crossAx val="367442176"/>
        <c:crosses val="autoZero"/>
        <c:crossBetween val="midCat"/>
      </c:valAx>
      <c:spPr>
        <a:solidFill>
          <a:srgbClr val="FFFFFF"/>
        </a:solidFill>
        <a:ln w="25400">
          <a:noFill/>
        </a:ln>
      </c:spPr>
    </c:plotArea>
    <c:legend>
      <c:legendPos val="r"/>
      <c:legendEntry>
        <c:idx val="1"/>
        <c:delete val="1"/>
      </c:legendEntry>
      <c:legendEntry>
        <c:idx val="2"/>
        <c:delete val="1"/>
      </c:legendEntry>
      <c:layout>
        <c:manualLayout>
          <c:xMode val="edge"/>
          <c:yMode val="edge"/>
          <c:x val="0.73005045456851303"/>
          <c:y val="0.65083282486368277"/>
          <c:w val="0.19083713063613356"/>
          <c:h val="0.16574580391473492"/>
        </c:manualLayout>
      </c:layout>
      <c:overlay val="0"/>
      <c:spPr>
        <a:solidFill>
          <a:srgbClr val="FFFFFF"/>
        </a:solidFill>
        <a:ln w="25400">
          <a:noFill/>
        </a:ln>
      </c:spPr>
      <c:txPr>
        <a:bodyPr/>
        <a:lstStyle/>
        <a:p>
          <a:pPr>
            <a:defRPr sz="920" b="0" i="0" u="none" strike="noStrike" baseline="0">
              <a:solidFill>
                <a:srgbClr val="000000"/>
              </a:solidFill>
              <a:latin typeface="SWISS"/>
              <a:ea typeface="SWISS"/>
              <a:cs typeface="SWISS"/>
            </a:defRPr>
          </a:pPr>
          <a:endParaRPr lang="en-US"/>
        </a:p>
      </c:txPr>
    </c:legend>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orientation="landscape"/>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LN AGED 2.2 FROM LN BYE</a:t>
            </a:r>
          </a:p>
        </c:rich>
      </c:tx>
      <c:layout>
        <c:manualLayout>
          <c:xMode val="edge"/>
          <c:yMode val="edge"/>
          <c:x val="0.41325078482836708"/>
          <c:y val="2.8248601000346638E-2"/>
        </c:manualLayout>
      </c:layout>
      <c:overlay val="0"/>
      <c:spPr>
        <a:solidFill>
          <a:srgbClr val="FFFFFF"/>
        </a:solidFill>
        <a:ln w="25400">
          <a:noFill/>
        </a:ln>
      </c:spPr>
    </c:title>
    <c:autoTitleDeleted val="0"/>
    <c:plotArea>
      <c:layout>
        <c:manualLayout>
          <c:layoutTarget val="inner"/>
          <c:xMode val="edge"/>
          <c:yMode val="edge"/>
          <c:x val="4.0341147124501792E-2"/>
          <c:y val="0.14124293785310887"/>
          <c:w val="0.9298142446988894"/>
          <c:h val="0.73634651600753365"/>
        </c:manualLayout>
      </c:layout>
      <c:scatterChart>
        <c:scatterStyle val="lineMarker"/>
        <c:varyColors val="0"/>
        <c:ser>
          <c:idx val="1"/>
          <c:order val="0"/>
          <c:spPr>
            <a:ln w="12700">
              <a:solidFill>
                <a:srgbClr val="0000FF"/>
              </a:solidFill>
              <a:prstDash val="solid"/>
            </a:ln>
          </c:spPr>
          <c:marker>
            <c:symbol val="none"/>
          </c:marker>
          <c:xVal>
            <c:numRef>
              <c:f>ln22xBYE!$Z$13:$Z$62</c:f>
              <c:numCache>
                <c:formatCode>General</c:formatCode>
                <c:ptCount val="50"/>
                <c:pt idx="0">
                  <c:v>12.93866450628777</c:v>
                </c:pt>
                <c:pt idx="1">
                  <c:v>12.509901232533091</c:v>
                </c:pt>
                <c:pt idx="2">
                  <c:v>12.363034509999967</c:v>
                </c:pt>
                <c:pt idx="3">
                  <c:v>12.830842533031001</c:v>
                </c:pt>
                <c:pt idx="4">
                  <c:v>12.833809203630931</c:v>
                </c:pt>
                <c:pt idx="5">
                  <c:v>11.935039249830341</c:v>
                </c:pt>
                <c:pt idx="6">
                  <c:v>12.366070916189516</c:v>
                </c:pt>
                <c:pt idx="7">
                  <c:v>13.176515090476855</c:v>
                </c:pt>
                <c:pt idx="8">
                  <c:v>12.706027868390226</c:v>
                </c:pt>
                <c:pt idx="9">
                  <c:v>13.280054238347628</c:v>
                </c:pt>
                <c:pt idx="10">
                  <c:v>12.919876857039919</c:v>
                </c:pt>
                <c:pt idx="11">
                  <c:v>12.976747590549403</c:v>
                </c:pt>
                <c:pt idx="12">
                  <c:v>12.254074322033052</c:v>
                </c:pt>
                <c:pt idx="13">
                  <c:v>12.058653451875918</c:v>
                </c:pt>
                <c:pt idx="14">
                  <c:v>12.423183915512015</c:v>
                </c:pt>
                <c:pt idx="15">
                  <c:v>12.785761122196162</c:v>
                </c:pt>
                <c:pt idx="16">
                  <c:v>12.364757482546439</c:v>
                </c:pt>
                <c:pt idx="17">
                  <c:v>13.137652200317289</c:v>
                </c:pt>
                <c:pt idx="18">
                  <c:v>13.319976880323642</c:v>
                </c:pt>
                <c:pt idx="19">
                  <c:v>13.566207860038292</c:v>
                </c:pt>
                <c:pt idx="20">
                  <c:v>13.319999038686715</c:v>
                </c:pt>
                <c:pt idx="21">
                  <c:v>13.444308994764105</c:v>
                </c:pt>
                <c:pt idx="22">
                  <c:v>13.638142794234168</c:v>
                </c:pt>
                <c:pt idx="23">
                  <c:v>13.375564583374878</c:v>
                </c:pt>
                <c:pt idx="24">
                  <c:v>13.146433368058696</c:v>
                </c:pt>
                <c:pt idx="25">
                  <c:v>13.134289959913048</c:v>
                </c:pt>
                <c:pt idx="26">
                  <c:v>13.113887510425618</c:v>
                </c:pt>
                <c:pt idx="27" formatCode="0.0000_)">
                  <c:v>13.272621998860386</c:v>
                </c:pt>
                <c:pt idx="28" formatCode="0.0000_)">
                  <c:v>13.336939161741851</c:v>
                </c:pt>
                <c:pt idx="29" formatCode="0.0000_)">
                  <c:v>13.248802039630496</c:v>
                </c:pt>
                <c:pt idx="30" formatCode="0.0000_)">
                  <c:v>13.232707328112893</c:v>
                </c:pt>
                <c:pt idx="31" formatCode="0.0000_)">
                  <c:v>13.388905223721844</c:v>
                </c:pt>
                <c:pt idx="32" formatCode="0.0000_)">
                  <c:v>13.329360121264791</c:v>
                </c:pt>
                <c:pt idx="33" formatCode="0.0000_)">
                  <c:v>13.178205610451972</c:v>
                </c:pt>
                <c:pt idx="34" formatCode="0.0000_)">
                  <c:v>13.422225465655695</c:v>
                </c:pt>
                <c:pt idx="35" formatCode="0.0000_)">
                  <c:v>13.710519648350095</c:v>
                </c:pt>
                <c:pt idx="36" formatCode="0.0000_)">
                  <c:v>13.361979778810085</c:v>
                </c:pt>
                <c:pt idx="37" formatCode="0.0000_)">
                  <c:v>13.383013866505049</c:v>
                </c:pt>
                <c:pt idx="38" formatCode="0.0000_)">
                  <c:v>13.194855187127974</c:v>
                </c:pt>
                <c:pt idx="39" formatCode="0.0000_)">
                  <c:v>13.43060220449148</c:v>
                </c:pt>
                <c:pt idx="40" formatCode="0.0000_)">
                  <c:v>13.504067072554466</c:v>
                </c:pt>
                <c:pt idx="41" formatCode="0.0000_)">
                  <c:v>13.390195741451633</c:v>
                </c:pt>
                <c:pt idx="42" formatCode="0.0000_)">
                  <c:v>13.28167557081543</c:v>
                </c:pt>
                <c:pt idx="43" formatCode="0.0000_)">
                  <c:v>13.356084865454058</c:v>
                </c:pt>
                <c:pt idx="44" formatCode="0.0000_)">
                  <c:v>13.56329987102068</c:v>
                </c:pt>
                <c:pt idx="45" formatCode="0.0000_)">
                  <c:v>13.575872974910187</c:v>
                </c:pt>
                <c:pt idx="46" formatCode="0.0000_)">
                  <c:v>13.329767714565747</c:v>
                </c:pt>
                <c:pt idx="47" formatCode="0.0000_)">
                  <c:v>13.312924231110307</c:v>
                </c:pt>
                <c:pt idx="49" formatCode="0.0000_)">
                  <c:v>13.412405662361978</c:v>
                </c:pt>
              </c:numCache>
            </c:numRef>
          </c:xVal>
          <c:yVal>
            <c:numRef>
              <c:f>ln22xBYE!$AD$13:$AD$62</c:f>
              <c:numCache>
                <c:formatCode>General</c:formatCode>
                <c:ptCount val="50"/>
                <c:pt idx="0">
                  <c:v>9.0154542182555613</c:v>
                </c:pt>
                <c:pt idx="1">
                  <c:v>8.8546962667643125</c:v>
                </c:pt>
                <c:pt idx="2">
                  <c:v>8.7996309314105989</c:v>
                </c:pt>
                <c:pt idx="3">
                  <c:v>8.9750280889494878</c:v>
                </c:pt>
                <c:pt idx="4">
                  <c:v>8.97614039477787</c:v>
                </c:pt>
                <c:pt idx="5">
                  <c:v>8.6391609343646305</c:v>
                </c:pt>
                <c:pt idx="6">
                  <c:v>8.8007693834861502</c:v>
                </c:pt>
                <c:pt idx="7">
                  <c:v>9.1046325015082257</c:v>
                </c:pt>
                <c:pt idx="8">
                  <c:v>8.9282308210118462</c:v>
                </c:pt>
                <c:pt idx="9">
                  <c:v>9.1434528537391824</c:v>
                </c:pt>
                <c:pt idx="10">
                  <c:v>9.0084100887992946</c:v>
                </c:pt>
                <c:pt idx="11">
                  <c:v>9.02973286334276</c:v>
                </c:pt>
                <c:pt idx="12">
                  <c:v>8.7587780466514307</c:v>
                </c:pt>
                <c:pt idx="13">
                  <c:v>8.6855081079974212</c:v>
                </c:pt>
                <c:pt idx="14">
                  <c:v>8.8221829917325021</c:v>
                </c:pt>
                <c:pt idx="15">
                  <c:v>8.9581255329243863</c:v>
                </c:pt>
                <c:pt idx="16">
                  <c:v>8.8002769324885843</c:v>
                </c:pt>
                <c:pt idx="17">
                  <c:v>9.0900614806360966</c:v>
                </c:pt>
                <c:pt idx="18">
                  <c:v>9.1584212116537511</c:v>
                </c:pt>
                <c:pt idx="19">
                  <c:v>9.2507415905564887</c:v>
                </c:pt>
                <c:pt idx="20">
                  <c:v>9.1584295195785987</c:v>
                </c:pt>
                <c:pt idx="21">
                  <c:v>9.2050375550895946</c:v>
                </c:pt>
                <c:pt idx="22">
                  <c:v>9.2777124469004111</c:v>
                </c:pt>
                <c:pt idx="23">
                  <c:v>9.1792629343889249</c:v>
                </c:pt>
                <c:pt idx="24">
                  <c:v>9.0933538394369062</c:v>
                </c:pt>
                <c:pt idx="25">
                  <c:v>9.0888008622182141</c:v>
                </c:pt>
                <c:pt idx="26">
                  <c:v>9.0811512891652786</c:v>
                </c:pt>
                <c:pt idx="27">
                  <c:v>9.1406662540742918</c:v>
                </c:pt>
                <c:pt idx="28">
                  <c:v>9.1647809485536271</c:v>
                </c:pt>
                <c:pt idx="29">
                  <c:v>9.1317353402465553</c:v>
                </c:pt>
                <c:pt idx="30">
                  <c:v>9.125700884844731</c:v>
                </c:pt>
                <c:pt idx="31">
                  <c:v>9.1842647947278007</c:v>
                </c:pt>
                <c:pt idx="32">
                  <c:v>9.1619393081988196</c:v>
                </c:pt>
                <c:pt idx="33">
                  <c:v>9.105266335012141</c:v>
                </c:pt>
                <c:pt idx="34">
                  <c:v>9.1967576880429664</c:v>
                </c:pt>
                <c:pt idx="35">
                  <c:v>9.304848994070527</c:v>
                </c:pt>
                <c:pt idx="36">
                  <c:v>9.1741695285705571</c:v>
                </c:pt>
                <c:pt idx="37">
                  <c:v>9.1820559242959146</c:v>
                </c:pt>
                <c:pt idx="38">
                  <c:v>9.1115088282560048</c:v>
                </c:pt>
                <c:pt idx="39">
                  <c:v>9.199898412675525</c:v>
                </c:pt>
                <c:pt idx="40">
                  <c:v>9.2274428933232269</c:v>
                </c:pt>
                <c:pt idx="41">
                  <c:v>9.1847486537691481</c:v>
                </c:pt>
                <c:pt idx="42">
                  <c:v>9.1440607464906467</c:v>
                </c:pt>
                <c:pt idx="43">
                  <c:v>9.1719593248209801</c:v>
                </c:pt>
                <c:pt idx="44">
                  <c:v>9.2496512864515292</c:v>
                </c:pt>
                <c:pt idx="45">
                  <c:v>9.2543653712365064</c:v>
                </c:pt>
                <c:pt idx="46">
                  <c:v>9.1620921288066324</c:v>
                </c:pt>
                <c:pt idx="47">
                  <c:v>9.1557769333082817</c:v>
                </c:pt>
                <c:pt idx="49">
                  <c:v>9.1671787300444194</c:v>
                </c:pt>
              </c:numCache>
            </c:numRef>
          </c:yVal>
          <c:smooth val="0"/>
        </c:ser>
        <c:ser>
          <c:idx val="2"/>
          <c:order val="1"/>
          <c:spPr>
            <a:ln w="12700">
              <a:solidFill>
                <a:srgbClr val="FF0000"/>
              </a:solidFill>
              <a:prstDash val="solid"/>
            </a:ln>
          </c:spPr>
          <c:marker>
            <c:symbol val="none"/>
          </c:marker>
          <c:xVal>
            <c:numRef>
              <c:f>ln22xBYE!$Z$13:$Z$62</c:f>
              <c:numCache>
                <c:formatCode>General</c:formatCode>
                <c:ptCount val="50"/>
                <c:pt idx="0">
                  <c:v>12.93866450628777</c:v>
                </c:pt>
                <c:pt idx="1">
                  <c:v>12.509901232533091</c:v>
                </c:pt>
                <c:pt idx="2">
                  <c:v>12.363034509999967</c:v>
                </c:pt>
                <c:pt idx="3">
                  <c:v>12.830842533031001</c:v>
                </c:pt>
                <c:pt idx="4">
                  <c:v>12.833809203630931</c:v>
                </c:pt>
                <c:pt idx="5">
                  <c:v>11.935039249830341</c:v>
                </c:pt>
                <c:pt idx="6">
                  <c:v>12.366070916189516</c:v>
                </c:pt>
                <c:pt idx="7">
                  <c:v>13.176515090476855</c:v>
                </c:pt>
                <c:pt idx="8">
                  <c:v>12.706027868390226</c:v>
                </c:pt>
                <c:pt idx="9">
                  <c:v>13.280054238347628</c:v>
                </c:pt>
                <c:pt idx="10">
                  <c:v>12.919876857039919</c:v>
                </c:pt>
                <c:pt idx="11">
                  <c:v>12.976747590549403</c:v>
                </c:pt>
                <c:pt idx="12">
                  <c:v>12.254074322033052</c:v>
                </c:pt>
                <c:pt idx="13">
                  <c:v>12.058653451875918</c:v>
                </c:pt>
                <c:pt idx="14">
                  <c:v>12.423183915512015</c:v>
                </c:pt>
                <c:pt idx="15">
                  <c:v>12.785761122196162</c:v>
                </c:pt>
                <c:pt idx="16">
                  <c:v>12.364757482546439</c:v>
                </c:pt>
                <c:pt idx="17">
                  <c:v>13.137652200317289</c:v>
                </c:pt>
                <c:pt idx="18">
                  <c:v>13.319976880323642</c:v>
                </c:pt>
                <c:pt idx="19">
                  <c:v>13.566207860038292</c:v>
                </c:pt>
                <c:pt idx="20">
                  <c:v>13.319999038686715</c:v>
                </c:pt>
                <c:pt idx="21">
                  <c:v>13.444308994764105</c:v>
                </c:pt>
                <c:pt idx="22">
                  <c:v>13.638142794234168</c:v>
                </c:pt>
                <c:pt idx="23">
                  <c:v>13.375564583374878</c:v>
                </c:pt>
                <c:pt idx="24">
                  <c:v>13.146433368058696</c:v>
                </c:pt>
                <c:pt idx="25">
                  <c:v>13.134289959913048</c:v>
                </c:pt>
                <c:pt idx="26">
                  <c:v>13.113887510425618</c:v>
                </c:pt>
                <c:pt idx="27" formatCode="0.0000_)">
                  <c:v>13.272621998860386</c:v>
                </c:pt>
                <c:pt idx="28" formatCode="0.0000_)">
                  <c:v>13.336939161741851</c:v>
                </c:pt>
                <c:pt idx="29" formatCode="0.0000_)">
                  <c:v>13.248802039630496</c:v>
                </c:pt>
                <c:pt idx="30" formatCode="0.0000_)">
                  <c:v>13.232707328112893</c:v>
                </c:pt>
                <c:pt idx="31" formatCode="0.0000_)">
                  <c:v>13.388905223721844</c:v>
                </c:pt>
                <c:pt idx="32" formatCode="0.0000_)">
                  <c:v>13.329360121264791</c:v>
                </c:pt>
                <c:pt idx="33" formatCode="0.0000_)">
                  <c:v>13.178205610451972</c:v>
                </c:pt>
                <c:pt idx="34" formatCode="0.0000_)">
                  <c:v>13.422225465655695</c:v>
                </c:pt>
                <c:pt idx="35" formatCode="0.0000_)">
                  <c:v>13.710519648350095</c:v>
                </c:pt>
                <c:pt idx="36" formatCode="0.0000_)">
                  <c:v>13.361979778810085</c:v>
                </c:pt>
                <c:pt idx="37" formatCode="0.0000_)">
                  <c:v>13.383013866505049</c:v>
                </c:pt>
                <c:pt idx="38" formatCode="0.0000_)">
                  <c:v>13.194855187127974</c:v>
                </c:pt>
                <c:pt idx="39" formatCode="0.0000_)">
                  <c:v>13.43060220449148</c:v>
                </c:pt>
                <c:pt idx="40" formatCode="0.0000_)">
                  <c:v>13.504067072554466</c:v>
                </c:pt>
                <c:pt idx="41" formatCode="0.0000_)">
                  <c:v>13.390195741451633</c:v>
                </c:pt>
                <c:pt idx="42" formatCode="0.0000_)">
                  <c:v>13.28167557081543</c:v>
                </c:pt>
                <c:pt idx="43" formatCode="0.0000_)">
                  <c:v>13.356084865454058</c:v>
                </c:pt>
                <c:pt idx="44" formatCode="0.0000_)">
                  <c:v>13.56329987102068</c:v>
                </c:pt>
                <c:pt idx="45" formatCode="0.0000_)">
                  <c:v>13.575872974910187</c:v>
                </c:pt>
                <c:pt idx="46" formatCode="0.0000_)">
                  <c:v>13.329767714565747</c:v>
                </c:pt>
                <c:pt idx="47" formatCode="0.0000_)">
                  <c:v>13.312924231110307</c:v>
                </c:pt>
                <c:pt idx="49" formatCode="0.0000_)">
                  <c:v>13.412405662361978</c:v>
                </c:pt>
              </c:numCache>
            </c:numRef>
          </c:xVal>
          <c:yVal>
            <c:numRef>
              <c:f>ln22xBYE!$AE$13:$AE$62</c:f>
              <c:numCache>
                <c:formatCode>General</c:formatCode>
                <c:ptCount val="50"/>
                <c:pt idx="0">
                  <c:v>10.839559486121276</c:v>
                </c:pt>
                <c:pt idx="1">
                  <c:v>10.678801534630027</c:v>
                </c:pt>
                <c:pt idx="2">
                  <c:v>10.623736199276314</c:v>
                </c:pt>
                <c:pt idx="3">
                  <c:v>10.799133356815203</c:v>
                </c:pt>
                <c:pt idx="4">
                  <c:v>10.800245662643585</c:v>
                </c:pt>
                <c:pt idx="5">
                  <c:v>10.463266202230345</c:v>
                </c:pt>
                <c:pt idx="6">
                  <c:v>10.624874651351865</c:v>
                </c:pt>
                <c:pt idx="7">
                  <c:v>10.92873776937394</c:v>
                </c:pt>
                <c:pt idx="8">
                  <c:v>10.752336088877561</c:v>
                </c:pt>
                <c:pt idx="9">
                  <c:v>10.967558121604897</c:v>
                </c:pt>
                <c:pt idx="10">
                  <c:v>10.832515356665009</c:v>
                </c:pt>
                <c:pt idx="11">
                  <c:v>10.853838131208475</c:v>
                </c:pt>
                <c:pt idx="12">
                  <c:v>10.582883314517145</c:v>
                </c:pt>
                <c:pt idx="13">
                  <c:v>10.509613375863136</c:v>
                </c:pt>
                <c:pt idx="14">
                  <c:v>10.646288259598217</c:v>
                </c:pt>
                <c:pt idx="15">
                  <c:v>10.782230800790101</c:v>
                </c:pt>
                <c:pt idx="16">
                  <c:v>10.624382200354299</c:v>
                </c:pt>
                <c:pt idx="17">
                  <c:v>10.914166748501811</c:v>
                </c:pt>
                <c:pt idx="18">
                  <c:v>10.982526479519466</c:v>
                </c:pt>
                <c:pt idx="19">
                  <c:v>11.074846858422204</c:v>
                </c:pt>
                <c:pt idx="20">
                  <c:v>10.982534787444314</c:v>
                </c:pt>
                <c:pt idx="21">
                  <c:v>11.029142822955309</c:v>
                </c:pt>
                <c:pt idx="22">
                  <c:v>11.101817714766126</c:v>
                </c:pt>
                <c:pt idx="23">
                  <c:v>11.00336820225464</c:v>
                </c:pt>
                <c:pt idx="24">
                  <c:v>10.917459107302621</c:v>
                </c:pt>
                <c:pt idx="25">
                  <c:v>10.912906130083929</c:v>
                </c:pt>
                <c:pt idx="26">
                  <c:v>10.905256557030993</c:v>
                </c:pt>
                <c:pt idx="27">
                  <c:v>10.964771521940007</c:v>
                </c:pt>
                <c:pt idx="28">
                  <c:v>10.988886216419342</c:v>
                </c:pt>
                <c:pt idx="29">
                  <c:v>10.95584060811227</c:v>
                </c:pt>
                <c:pt idx="30">
                  <c:v>10.949806152710446</c:v>
                </c:pt>
                <c:pt idx="31">
                  <c:v>11.008370062593515</c:v>
                </c:pt>
                <c:pt idx="32">
                  <c:v>10.986044576064534</c:v>
                </c:pt>
                <c:pt idx="33">
                  <c:v>10.929371602877856</c:v>
                </c:pt>
                <c:pt idx="34">
                  <c:v>11.020862955908681</c:v>
                </c:pt>
                <c:pt idx="35">
                  <c:v>11.128954261936242</c:v>
                </c:pt>
                <c:pt idx="36">
                  <c:v>10.998274796436272</c:v>
                </c:pt>
                <c:pt idx="37">
                  <c:v>11.006161192161629</c:v>
                </c:pt>
                <c:pt idx="38">
                  <c:v>10.93561409612172</c:v>
                </c:pt>
                <c:pt idx="39">
                  <c:v>11.02400368054124</c:v>
                </c:pt>
                <c:pt idx="40">
                  <c:v>11.051548161188942</c:v>
                </c:pt>
                <c:pt idx="41">
                  <c:v>11.008853921634863</c:v>
                </c:pt>
                <c:pt idx="42">
                  <c:v>10.968166014356362</c:v>
                </c:pt>
                <c:pt idx="43">
                  <c:v>10.996064592686695</c:v>
                </c:pt>
                <c:pt idx="44">
                  <c:v>11.073756554317244</c:v>
                </c:pt>
                <c:pt idx="45">
                  <c:v>11.078470639102221</c:v>
                </c:pt>
                <c:pt idx="46">
                  <c:v>10.986197396672347</c:v>
                </c:pt>
                <c:pt idx="47">
                  <c:v>10.979882201173996</c:v>
                </c:pt>
                <c:pt idx="49">
                  <c:v>11.043078356633671</c:v>
                </c:pt>
              </c:numCache>
            </c:numRef>
          </c:yVal>
          <c:smooth val="0"/>
        </c:ser>
        <c:ser>
          <c:idx val="3"/>
          <c:order val="2"/>
          <c:tx>
            <c:v>Forecast</c:v>
          </c:tx>
          <c:spPr>
            <a:ln w="12700">
              <a:solidFill>
                <a:srgbClr val="FF00FF"/>
              </a:solidFill>
              <a:prstDash val="solid"/>
            </a:ln>
          </c:spPr>
          <c:marker>
            <c:symbol val="square"/>
            <c:size val="10"/>
            <c:spPr>
              <a:solidFill>
                <a:srgbClr val="FF00FF"/>
              </a:solidFill>
              <a:ln>
                <a:solidFill>
                  <a:srgbClr val="000000"/>
                </a:solidFill>
                <a:prstDash val="solid"/>
              </a:ln>
            </c:spPr>
          </c:marker>
          <c:xVal>
            <c:numRef>
              <c:f>ln22xBYE!$Z$13:$Z$62</c:f>
              <c:numCache>
                <c:formatCode>General</c:formatCode>
                <c:ptCount val="50"/>
                <c:pt idx="0">
                  <c:v>12.93866450628777</c:v>
                </c:pt>
                <c:pt idx="1">
                  <c:v>12.509901232533091</c:v>
                </c:pt>
                <c:pt idx="2">
                  <c:v>12.363034509999967</c:v>
                </c:pt>
                <c:pt idx="3">
                  <c:v>12.830842533031001</c:v>
                </c:pt>
                <c:pt idx="4">
                  <c:v>12.833809203630931</c:v>
                </c:pt>
                <c:pt idx="5">
                  <c:v>11.935039249830341</c:v>
                </c:pt>
                <c:pt idx="6">
                  <c:v>12.366070916189516</c:v>
                </c:pt>
                <c:pt idx="7">
                  <c:v>13.176515090476855</c:v>
                </c:pt>
                <c:pt idx="8">
                  <c:v>12.706027868390226</c:v>
                </c:pt>
                <c:pt idx="9">
                  <c:v>13.280054238347628</c:v>
                </c:pt>
                <c:pt idx="10">
                  <c:v>12.919876857039919</c:v>
                </c:pt>
                <c:pt idx="11">
                  <c:v>12.976747590549403</c:v>
                </c:pt>
                <c:pt idx="12">
                  <c:v>12.254074322033052</c:v>
                </c:pt>
                <c:pt idx="13">
                  <c:v>12.058653451875918</c:v>
                </c:pt>
                <c:pt idx="14">
                  <c:v>12.423183915512015</c:v>
                </c:pt>
                <c:pt idx="15">
                  <c:v>12.785761122196162</c:v>
                </c:pt>
                <c:pt idx="16">
                  <c:v>12.364757482546439</c:v>
                </c:pt>
                <c:pt idx="17">
                  <c:v>13.137652200317289</c:v>
                </c:pt>
                <c:pt idx="18">
                  <c:v>13.319976880323642</c:v>
                </c:pt>
                <c:pt idx="19">
                  <c:v>13.566207860038292</c:v>
                </c:pt>
                <c:pt idx="20">
                  <c:v>13.319999038686715</c:v>
                </c:pt>
                <c:pt idx="21">
                  <c:v>13.444308994764105</c:v>
                </c:pt>
                <c:pt idx="22">
                  <c:v>13.638142794234168</c:v>
                </c:pt>
                <c:pt idx="23">
                  <c:v>13.375564583374878</c:v>
                </c:pt>
                <c:pt idx="24">
                  <c:v>13.146433368058696</c:v>
                </c:pt>
                <c:pt idx="25">
                  <c:v>13.134289959913048</c:v>
                </c:pt>
                <c:pt idx="26">
                  <c:v>13.113887510425618</c:v>
                </c:pt>
                <c:pt idx="27" formatCode="0.0000_)">
                  <c:v>13.272621998860386</c:v>
                </c:pt>
                <c:pt idx="28" formatCode="0.0000_)">
                  <c:v>13.336939161741851</c:v>
                </c:pt>
                <c:pt idx="29" formatCode="0.0000_)">
                  <c:v>13.248802039630496</c:v>
                </c:pt>
                <c:pt idx="30" formatCode="0.0000_)">
                  <c:v>13.232707328112893</c:v>
                </c:pt>
                <c:pt idx="31" formatCode="0.0000_)">
                  <c:v>13.388905223721844</c:v>
                </c:pt>
                <c:pt idx="32" formatCode="0.0000_)">
                  <c:v>13.329360121264791</c:v>
                </c:pt>
                <c:pt idx="33" formatCode="0.0000_)">
                  <c:v>13.178205610451972</c:v>
                </c:pt>
                <c:pt idx="34" formatCode="0.0000_)">
                  <c:v>13.422225465655695</c:v>
                </c:pt>
                <c:pt idx="35" formatCode="0.0000_)">
                  <c:v>13.710519648350095</c:v>
                </c:pt>
                <c:pt idx="36" formatCode="0.0000_)">
                  <c:v>13.361979778810085</c:v>
                </c:pt>
                <c:pt idx="37" formatCode="0.0000_)">
                  <c:v>13.383013866505049</c:v>
                </c:pt>
                <c:pt idx="38" formatCode="0.0000_)">
                  <c:v>13.194855187127974</c:v>
                </c:pt>
                <c:pt idx="39" formatCode="0.0000_)">
                  <c:v>13.43060220449148</c:v>
                </c:pt>
                <c:pt idx="40" formatCode="0.0000_)">
                  <c:v>13.504067072554466</c:v>
                </c:pt>
                <c:pt idx="41" formatCode="0.0000_)">
                  <c:v>13.390195741451633</c:v>
                </c:pt>
                <c:pt idx="42" formatCode="0.0000_)">
                  <c:v>13.28167557081543</c:v>
                </c:pt>
                <c:pt idx="43" formatCode="0.0000_)">
                  <c:v>13.356084865454058</c:v>
                </c:pt>
                <c:pt idx="44" formatCode="0.0000_)">
                  <c:v>13.56329987102068</c:v>
                </c:pt>
                <c:pt idx="45" formatCode="0.0000_)">
                  <c:v>13.575872974910187</c:v>
                </c:pt>
                <c:pt idx="46" formatCode="0.0000_)">
                  <c:v>13.329767714565747</c:v>
                </c:pt>
                <c:pt idx="47" formatCode="0.0000_)">
                  <c:v>13.312924231110307</c:v>
                </c:pt>
                <c:pt idx="49" formatCode="0.0000_)">
                  <c:v>13.412405662361978</c:v>
                </c:pt>
              </c:numCache>
            </c:numRef>
          </c:xVal>
          <c:yVal>
            <c:numRef>
              <c:f>ln22xBYE!$AF$13:$AF$62</c:f>
              <c:numCache>
                <c:formatCode>General</c:formatCode>
                <c:ptCount val="50"/>
                <c:pt idx="49">
                  <c:v>10.105128543339045</c:v>
                </c:pt>
              </c:numCache>
            </c:numRef>
          </c:yVal>
          <c:smooth val="0"/>
        </c:ser>
        <c:ser>
          <c:idx val="0"/>
          <c:order val="3"/>
          <c:tx>
            <c:v>Actual</c:v>
          </c:tx>
          <c:spPr>
            <a:ln w="28575">
              <a:noFill/>
            </a:ln>
          </c:spPr>
          <c:marker>
            <c:symbol val="diamond"/>
            <c:size val="6"/>
            <c:spPr>
              <a:solidFill>
                <a:srgbClr val="000080"/>
              </a:solidFill>
              <a:ln>
                <a:solidFill>
                  <a:srgbClr val="000080"/>
                </a:solidFill>
                <a:prstDash val="solid"/>
              </a:ln>
            </c:spPr>
          </c:marker>
          <c:trendline>
            <c:spPr>
              <a:ln w="25400">
                <a:solidFill>
                  <a:srgbClr val="000000"/>
                </a:solidFill>
                <a:prstDash val="solid"/>
              </a:ln>
            </c:spPr>
            <c:trendlineType val="linear"/>
            <c:dispRSqr val="1"/>
            <c:dispEq val="1"/>
            <c:trendlineLbl>
              <c:layout>
                <c:manualLayout>
                  <c:x val="-0.4512581939192265"/>
                  <c:y val="-0.30424251509654998"/>
                </c:manualLayout>
              </c:layout>
              <c:numFmt formatCode="General" sourceLinked="0"/>
              <c:spPr>
                <a:noFill/>
                <a:ln w="25400">
                  <a:noFill/>
                </a:ln>
              </c:spPr>
              <c:txPr>
                <a:bodyPr/>
                <a:lstStyle/>
                <a:p>
                  <a:pPr>
                    <a:defRPr sz="1200" b="0" i="0" u="none" strike="noStrike" baseline="0">
                      <a:solidFill>
                        <a:srgbClr val="000000"/>
                      </a:solidFill>
                      <a:latin typeface="Times New Roman"/>
                      <a:ea typeface="Times New Roman"/>
                      <a:cs typeface="Times New Roman"/>
                    </a:defRPr>
                  </a:pPr>
                  <a:endParaRPr lang="en-US"/>
                </a:p>
              </c:txPr>
            </c:trendlineLbl>
          </c:trendline>
          <c:xVal>
            <c:numRef>
              <c:f>ln22xBYE!$Z$13:$Z$62</c:f>
              <c:numCache>
                <c:formatCode>General</c:formatCode>
                <c:ptCount val="50"/>
                <c:pt idx="0">
                  <c:v>12.93866450628777</c:v>
                </c:pt>
                <c:pt idx="1">
                  <c:v>12.509901232533091</c:v>
                </c:pt>
                <c:pt idx="2">
                  <c:v>12.363034509999967</c:v>
                </c:pt>
                <c:pt idx="3">
                  <c:v>12.830842533031001</c:v>
                </c:pt>
                <c:pt idx="4">
                  <c:v>12.833809203630931</c:v>
                </c:pt>
                <c:pt idx="5">
                  <c:v>11.935039249830341</c:v>
                </c:pt>
                <c:pt idx="6">
                  <c:v>12.366070916189516</c:v>
                </c:pt>
                <c:pt idx="7">
                  <c:v>13.176515090476855</c:v>
                </c:pt>
                <c:pt idx="8">
                  <c:v>12.706027868390226</c:v>
                </c:pt>
                <c:pt idx="9">
                  <c:v>13.280054238347628</c:v>
                </c:pt>
                <c:pt idx="10">
                  <c:v>12.919876857039919</c:v>
                </c:pt>
                <c:pt idx="11">
                  <c:v>12.976747590549403</c:v>
                </c:pt>
                <c:pt idx="12">
                  <c:v>12.254074322033052</c:v>
                </c:pt>
                <c:pt idx="13">
                  <c:v>12.058653451875918</c:v>
                </c:pt>
                <c:pt idx="14">
                  <c:v>12.423183915512015</c:v>
                </c:pt>
                <c:pt idx="15">
                  <c:v>12.785761122196162</c:v>
                </c:pt>
                <c:pt idx="16">
                  <c:v>12.364757482546439</c:v>
                </c:pt>
                <c:pt idx="17">
                  <c:v>13.137652200317289</c:v>
                </c:pt>
                <c:pt idx="18">
                  <c:v>13.319976880323642</c:v>
                </c:pt>
                <c:pt idx="19">
                  <c:v>13.566207860038292</c:v>
                </c:pt>
                <c:pt idx="20">
                  <c:v>13.319999038686715</c:v>
                </c:pt>
                <c:pt idx="21">
                  <c:v>13.444308994764105</c:v>
                </c:pt>
                <c:pt idx="22">
                  <c:v>13.638142794234168</c:v>
                </c:pt>
                <c:pt idx="23">
                  <c:v>13.375564583374878</c:v>
                </c:pt>
                <c:pt idx="24">
                  <c:v>13.146433368058696</c:v>
                </c:pt>
                <c:pt idx="25">
                  <c:v>13.134289959913048</c:v>
                </c:pt>
                <c:pt idx="26">
                  <c:v>13.113887510425618</c:v>
                </c:pt>
                <c:pt idx="27" formatCode="0.0000_)">
                  <c:v>13.272621998860386</c:v>
                </c:pt>
                <c:pt idx="28" formatCode="0.0000_)">
                  <c:v>13.336939161741851</c:v>
                </c:pt>
                <c:pt idx="29" formatCode="0.0000_)">
                  <c:v>13.248802039630496</c:v>
                </c:pt>
                <c:pt idx="30" formatCode="0.0000_)">
                  <c:v>13.232707328112893</c:v>
                </c:pt>
                <c:pt idx="31" formatCode="0.0000_)">
                  <c:v>13.388905223721844</c:v>
                </c:pt>
                <c:pt idx="32" formatCode="0.0000_)">
                  <c:v>13.329360121264791</c:v>
                </c:pt>
                <c:pt idx="33" formatCode="0.0000_)">
                  <c:v>13.178205610451972</c:v>
                </c:pt>
                <c:pt idx="34" formatCode="0.0000_)">
                  <c:v>13.422225465655695</c:v>
                </c:pt>
                <c:pt idx="35" formatCode="0.0000_)">
                  <c:v>13.710519648350095</c:v>
                </c:pt>
                <c:pt idx="36" formatCode="0.0000_)">
                  <c:v>13.361979778810085</c:v>
                </c:pt>
                <c:pt idx="37" formatCode="0.0000_)">
                  <c:v>13.383013866505049</c:v>
                </c:pt>
                <c:pt idx="38" formatCode="0.0000_)">
                  <c:v>13.194855187127974</c:v>
                </c:pt>
                <c:pt idx="39" formatCode="0.0000_)">
                  <c:v>13.43060220449148</c:v>
                </c:pt>
                <c:pt idx="40" formatCode="0.0000_)">
                  <c:v>13.504067072554466</c:v>
                </c:pt>
                <c:pt idx="41" formatCode="0.0000_)">
                  <c:v>13.390195741451633</c:v>
                </c:pt>
                <c:pt idx="42" formatCode="0.0000_)">
                  <c:v>13.28167557081543</c:v>
                </c:pt>
                <c:pt idx="43" formatCode="0.0000_)">
                  <c:v>13.356084865454058</c:v>
                </c:pt>
                <c:pt idx="44" formatCode="0.0000_)">
                  <c:v>13.56329987102068</c:v>
                </c:pt>
                <c:pt idx="45" formatCode="0.0000_)">
                  <c:v>13.575872974910187</c:v>
                </c:pt>
                <c:pt idx="46" formatCode="0.0000_)">
                  <c:v>13.329767714565747</c:v>
                </c:pt>
                <c:pt idx="47" formatCode="0.0000_)">
                  <c:v>13.312924231110307</c:v>
                </c:pt>
                <c:pt idx="49" formatCode="0.0000_)">
                  <c:v>13.412405662361978</c:v>
                </c:pt>
              </c:numCache>
            </c:numRef>
          </c:xVal>
          <c:yVal>
            <c:numRef>
              <c:f>ln22xBYE!$AB$13:$AB$62</c:f>
              <c:numCache>
                <c:formatCode>General</c:formatCode>
                <c:ptCount val="50"/>
                <c:pt idx="0">
                  <c:v>9.1830558095757926</c:v>
                </c:pt>
                <c:pt idx="1">
                  <c:v>9.361806906405409</c:v>
                </c:pt>
                <c:pt idx="2">
                  <c:v>10.044501496465394</c:v>
                </c:pt>
                <c:pt idx="3">
                  <c:v>10.149185406051224</c:v>
                </c:pt>
                <c:pt idx="4">
                  <c:v>9.5831284261943281</c:v>
                </c:pt>
                <c:pt idx="5">
                  <c:v>9.0961528771355642</c:v>
                </c:pt>
                <c:pt idx="6">
                  <c:v>9.5747737376572584</c:v>
                </c:pt>
                <c:pt idx="7">
                  <c:v>10.676012017213226</c:v>
                </c:pt>
                <c:pt idx="8">
                  <c:v>9.6307284205651111</c:v>
                </c:pt>
                <c:pt idx="9">
                  <c:v>9.1792713306598923</c:v>
                </c:pt>
                <c:pt idx="10">
                  <c:v>8.8702652307234988</c:v>
                </c:pt>
                <c:pt idx="11">
                  <c:v>9.8369599134965462</c:v>
                </c:pt>
                <c:pt idx="12">
                  <c:v>9.8545823392586307</c:v>
                </c:pt>
                <c:pt idx="13">
                  <c:v>10.311052429506699</c:v>
                </c:pt>
                <c:pt idx="14">
                  <c:v>9.3922568166298035</c:v>
                </c:pt>
                <c:pt idx="15">
                  <c:v>10.156317736267425</c:v>
                </c:pt>
                <c:pt idx="16">
                  <c:v>10.33729449231382</c:v>
                </c:pt>
                <c:pt idx="17">
                  <c:v>9.7108349849448086</c:v>
                </c:pt>
                <c:pt idx="18">
                  <c:v>10.181945149571556</c:v>
                </c:pt>
                <c:pt idx="19">
                  <c:v>9.0619864355716402</c:v>
                </c:pt>
                <c:pt idx="20">
                  <c:v>9.315093953184272</c:v>
                </c:pt>
                <c:pt idx="21">
                  <c:v>9.8560775278142092</c:v>
                </c:pt>
                <c:pt idx="22">
                  <c:v>9.8974061373719184</c:v>
                </c:pt>
                <c:pt idx="23">
                  <c:v>11.093224203115401</c:v>
                </c:pt>
                <c:pt idx="24">
                  <c:v>8.7360473966242616</c:v>
                </c:pt>
                <c:pt idx="25">
                  <c:v>10.111457545898483</c:v>
                </c:pt>
                <c:pt idx="26">
                  <c:v>9.9129617126545728</c:v>
                </c:pt>
                <c:pt idx="27">
                  <c:v>9.6129829013257417</c:v>
                </c:pt>
                <c:pt idx="28">
                  <c:v>10.574583142822014</c:v>
                </c:pt>
                <c:pt idx="29">
                  <c:v>10.887887975016772</c:v>
                </c:pt>
                <c:pt idx="30">
                  <c:v>10.198544960378467</c:v>
                </c:pt>
                <c:pt idx="31">
                  <c:v>9.8528858812286817</c:v>
                </c:pt>
                <c:pt idx="32">
                  <c:v>10.460287109250565</c:v>
                </c:pt>
                <c:pt idx="33">
                  <c:v>9.1049258695616349</c:v>
                </c:pt>
                <c:pt idx="34">
                  <c:v>8.933054979268606</c:v>
                </c:pt>
                <c:pt idx="35">
                  <c:v>9.3153891456982763</c:v>
                </c:pt>
                <c:pt idx="36">
                  <c:v>9.4965134534434341</c:v>
                </c:pt>
                <c:pt idx="37">
                  <c:v>11.181371948983598</c:v>
                </c:pt>
                <c:pt idx="38">
                  <c:v>10.787155626946394</c:v>
                </c:pt>
                <c:pt idx="39">
                  <c:v>10.971602358695069</c:v>
                </c:pt>
                <c:pt idx="40">
                  <c:v>9.640021832322569</c:v>
                </c:pt>
                <c:pt idx="41">
                  <c:v>9.6421994068747559</c:v>
                </c:pt>
                <c:pt idx="42">
                  <c:v>10.541509658148065</c:v>
                </c:pt>
                <c:pt idx="43">
                  <c:v>9.9800919386839855</c:v>
                </c:pt>
                <c:pt idx="44">
                  <c:v>10.783812788447905</c:v>
                </c:pt>
                <c:pt idx="45">
                  <c:v>11.569452927271929</c:v>
                </c:pt>
                <c:pt idx="46">
                  <c:v>11.3541796957181</c:v>
                </c:pt>
                <c:pt idx="47">
                  <c:v>11.392566663424974</c:v>
                </c:pt>
              </c:numCache>
            </c:numRef>
          </c:yVal>
          <c:smooth val="0"/>
        </c:ser>
        <c:dLbls>
          <c:showLegendKey val="0"/>
          <c:showVal val="0"/>
          <c:showCatName val="0"/>
          <c:showSerName val="0"/>
          <c:showPercent val="0"/>
          <c:showBubbleSize val="0"/>
        </c:dLbls>
        <c:axId val="367904640"/>
        <c:axId val="367915008"/>
      </c:scatterChart>
      <c:valAx>
        <c:axId val="367904640"/>
        <c:scaling>
          <c:orientation val="minMax"/>
        </c:scaling>
        <c:delete val="0"/>
        <c:axPos val="b"/>
        <c:title>
          <c:tx>
            <c:rich>
              <a:bodyPr/>
              <a:lstStyle/>
              <a:p>
                <a:pPr>
                  <a:defRPr sz="1000" b="0" i="0" u="none" strike="noStrike" baseline="0">
                    <a:solidFill>
                      <a:srgbClr val="000000"/>
                    </a:solidFill>
                    <a:latin typeface="Arial"/>
                    <a:ea typeface="Arial"/>
                    <a:cs typeface="Arial"/>
                  </a:defRPr>
                </a:pPr>
                <a:r>
                  <a:rPr lang="en-US"/>
                  <a:t>LN BROOD YEAR ESCAPEMENT</a:t>
                </a:r>
              </a:p>
            </c:rich>
          </c:tx>
          <c:layout>
            <c:manualLayout>
              <c:xMode val="edge"/>
              <c:yMode val="edge"/>
              <c:x val="0.40439545056867893"/>
              <c:y val="0.93408666369533999"/>
            </c:manualLayout>
          </c:layout>
          <c:overlay val="0"/>
          <c:spPr>
            <a:noFill/>
            <a:ln w="25400">
              <a:noFill/>
            </a:ln>
          </c:spPr>
        </c:title>
        <c:numFmt formatCode="General" sourceLinked="1"/>
        <c:majorTickMark val="in"/>
        <c:minorTickMark val="in"/>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367915008"/>
        <c:crosses val="autoZero"/>
        <c:crossBetween val="midCat"/>
      </c:valAx>
      <c:valAx>
        <c:axId val="367915008"/>
        <c:scaling>
          <c:orientation val="minMax"/>
          <c:min val="8"/>
        </c:scaling>
        <c:delete val="0"/>
        <c:axPos val="l"/>
        <c:title>
          <c:tx>
            <c:rich>
              <a:bodyPr/>
              <a:lstStyle/>
              <a:p>
                <a:pPr>
                  <a:defRPr sz="1000" b="0" i="0" u="none" strike="noStrike" baseline="0">
                    <a:solidFill>
                      <a:srgbClr val="000000"/>
                    </a:solidFill>
                    <a:latin typeface="Arial"/>
                    <a:ea typeface="Arial"/>
                    <a:cs typeface="Arial"/>
                  </a:defRPr>
                </a:pPr>
                <a:r>
                  <a:rPr lang="en-US"/>
                  <a:t>LN AGED 2.2</a:t>
                </a:r>
              </a:p>
            </c:rich>
          </c:tx>
          <c:layout>
            <c:manualLayout>
              <c:xMode val="edge"/>
              <c:yMode val="edge"/>
              <c:x val="4.9196644537080579E-3"/>
              <c:y val="0.43126172435992682"/>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367904640"/>
        <c:crosses val="autoZero"/>
        <c:crossBetween val="midCat"/>
      </c:valAx>
      <c:spPr>
        <a:solidFill>
          <a:srgbClr val="FFFFFF"/>
        </a:solidFill>
        <a:ln w="25400">
          <a:noFill/>
        </a:ln>
      </c:spPr>
    </c:plotArea>
    <c:legend>
      <c:legendPos val="r"/>
      <c:legendEntry>
        <c:idx val="0"/>
        <c:delete val="1"/>
      </c:legendEntry>
      <c:legendEntry>
        <c:idx val="1"/>
        <c:delete val="1"/>
      </c:legendEntry>
      <c:layout>
        <c:manualLayout>
          <c:xMode val="edge"/>
          <c:yMode val="edge"/>
          <c:x val="8.3634089856415045E-2"/>
          <c:y val="0.12994344574852804"/>
          <c:w val="0.10921630384437234"/>
          <c:h val="0.12994344574853042"/>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84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9525">
      <a:noFill/>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LN 2.2 FROM LN 1.2</a:t>
            </a:r>
          </a:p>
        </c:rich>
      </c:tx>
      <c:layout>
        <c:manualLayout>
          <c:xMode val="edge"/>
          <c:yMode val="edge"/>
          <c:x val="0.41351744480674935"/>
          <c:y val="2.8607922101340402E-2"/>
        </c:manualLayout>
      </c:layout>
      <c:overlay val="0"/>
      <c:spPr>
        <a:solidFill>
          <a:srgbClr val="FFFFFF"/>
        </a:solidFill>
        <a:ln w="12700">
          <a:solidFill>
            <a:srgbClr val="000000"/>
          </a:solidFill>
          <a:prstDash val="solid"/>
        </a:ln>
        <a:effectLst>
          <a:outerShdw dist="35921" dir="2700000" algn="br">
            <a:srgbClr val="000000"/>
          </a:outerShdw>
        </a:effectLst>
      </c:spPr>
    </c:title>
    <c:autoTitleDeleted val="0"/>
    <c:plotArea>
      <c:layout>
        <c:manualLayout>
          <c:layoutTarget val="inner"/>
          <c:xMode val="edge"/>
          <c:yMode val="edge"/>
          <c:x val="0.10271240578486775"/>
          <c:y val="0.13541038076719963"/>
          <c:w val="0.85904921201890605"/>
          <c:h val="0.68086628075900146"/>
        </c:manualLayout>
      </c:layout>
      <c:scatterChart>
        <c:scatterStyle val="lineMarker"/>
        <c:varyColors val="0"/>
        <c:ser>
          <c:idx val="0"/>
          <c:order val="0"/>
          <c:tx>
            <c:v>ACTUAL</c:v>
          </c:tx>
          <c:spPr>
            <a:ln w="3175">
              <a:solidFill>
                <a:srgbClr val="00FF00"/>
              </a:solidFill>
              <a:prstDash val="solid"/>
            </a:ln>
          </c:spPr>
          <c:marker>
            <c:symbol val="diamond"/>
            <c:size val="5"/>
            <c:spPr>
              <a:solidFill>
                <a:srgbClr val="00FF00"/>
              </a:solidFill>
              <a:ln>
                <a:solidFill>
                  <a:srgbClr val="000000"/>
                </a:solidFill>
                <a:prstDash val="solid"/>
              </a:ln>
            </c:spPr>
          </c:marker>
          <c:dLbls>
            <c:dLbl>
              <c:idx val="0"/>
              <c:tx>
                <c:strRef>
                  <c:f>ln22xln12!$AC$13</c:f>
                  <c:strCache>
                    <c:ptCount val="1"/>
                    <c:pt idx="0">
                      <c:v>67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
              <c:tx>
                <c:strRef>
                  <c:f>ln22xln12!$AC$14</c:f>
                  <c:strCache>
                    <c:ptCount val="1"/>
                    <c:pt idx="0">
                      <c:v>68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
              <c:tx>
                <c:strRef>
                  <c:f>ln22xln12!$AC$15</c:f>
                  <c:strCache>
                    <c:ptCount val="1"/>
                    <c:pt idx="0">
                      <c:v>69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3"/>
              <c:tx>
                <c:strRef>
                  <c:f>ln22xln12!$AC$16</c:f>
                  <c:strCache>
                    <c:ptCount val="1"/>
                    <c:pt idx="0">
                      <c:v>70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4"/>
              <c:tx>
                <c:strRef>
                  <c:f>ln22xln12!$AC$17</c:f>
                  <c:strCache>
                    <c:ptCount val="1"/>
                    <c:pt idx="0">
                      <c:v>71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5"/>
              <c:tx>
                <c:strRef>
                  <c:f>ln22xln12!$AC$18</c:f>
                  <c:strCache>
                    <c:ptCount val="1"/>
                    <c:pt idx="0">
                      <c:v>72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6"/>
              <c:tx>
                <c:strRef>
                  <c:f>ln22xln12!$AC$19</c:f>
                  <c:strCache>
                    <c:ptCount val="1"/>
                    <c:pt idx="0">
                      <c:v>73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7"/>
              <c:tx>
                <c:strRef>
                  <c:f>ln22xln12!$AC$20</c:f>
                  <c:strCache>
                    <c:ptCount val="1"/>
                    <c:pt idx="0">
                      <c:v>74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8"/>
              <c:tx>
                <c:strRef>
                  <c:f>ln22xln12!$AC$21</c:f>
                  <c:strCache>
                    <c:ptCount val="1"/>
                    <c:pt idx="0">
                      <c:v>75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9"/>
              <c:tx>
                <c:strRef>
                  <c:f>ln22xln12!$AC$22</c:f>
                  <c:strCache>
                    <c:ptCount val="1"/>
                    <c:pt idx="0">
                      <c:v>76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0"/>
              <c:tx>
                <c:strRef>
                  <c:f>ln22xln12!$AC$23</c:f>
                  <c:strCache>
                    <c:ptCount val="1"/>
                    <c:pt idx="0">
                      <c:v>77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1"/>
              <c:tx>
                <c:strRef>
                  <c:f>ln22xln12!$AC$24</c:f>
                  <c:strCache>
                    <c:ptCount val="1"/>
                    <c:pt idx="0">
                      <c:v>78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2"/>
              <c:tx>
                <c:strRef>
                  <c:f>ln22xln12!$AC$25</c:f>
                  <c:strCache>
                    <c:ptCount val="1"/>
                    <c:pt idx="0">
                      <c:v>79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3"/>
              <c:tx>
                <c:strRef>
                  <c:f>ln22xln12!$AC$26</c:f>
                  <c:strCache>
                    <c:ptCount val="1"/>
                    <c:pt idx="0">
                      <c:v>80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4"/>
              <c:tx>
                <c:strRef>
                  <c:f>ln22xln12!$AC$27</c:f>
                  <c:strCache>
                    <c:ptCount val="1"/>
                    <c:pt idx="0">
                      <c:v>81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5"/>
              <c:tx>
                <c:strRef>
                  <c:f>ln22xln12!$AC$28</c:f>
                  <c:strCache>
                    <c:ptCount val="1"/>
                    <c:pt idx="0">
                      <c:v>82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6"/>
              <c:tx>
                <c:strRef>
                  <c:f>ln22xln12!$AC$29</c:f>
                  <c:strCache>
                    <c:ptCount val="1"/>
                    <c:pt idx="0">
                      <c:v>83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7"/>
              <c:tx>
                <c:strRef>
                  <c:f>ln22xln12!$AC$30</c:f>
                  <c:strCache>
                    <c:ptCount val="1"/>
                    <c:pt idx="0">
                      <c:v>84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8"/>
              <c:tx>
                <c:strRef>
                  <c:f>ln22xln12!$AC$31</c:f>
                  <c:strCache>
                    <c:ptCount val="1"/>
                    <c:pt idx="0">
                      <c:v>85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9"/>
              <c:tx>
                <c:strRef>
                  <c:f>ln22xln12!$AC$32</c:f>
                  <c:strCache>
                    <c:ptCount val="1"/>
                    <c:pt idx="0">
                      <c:v>86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0"/>
              <c:tx>
                <c:strRef>
                  <c:f>ln22xln12!$AC$33</c:f>
                  <c:strCache>
                    <c:ptCount val="1"/>
                    <c:pt idx="0">
                      <c:v>87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1"/>
              <c:tx>
                <c:strRef>
                  <c:f>ln22xln12!$AC$34</c:f>
                  <c:strCache>
                    <c:ptCount val="1"/>
                    <c:pt idx="0">
                      <c:v>88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2"/>
              <c:tx>
                <c:strRef>
                  <c:f>ln22xln12!$AC$35</c:f>
                  <c:strCache>
                    <c:ptCount val="1"/>
                    <c:pt idx="0">
                      <c:v>89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3"/>
              <c:tx>
                <c:strRef>
                  <c:f>ln22xln12!$AC$36</c:f>
                  <c:strCache>
                    <c:ptCount val="1"/>
                    <c:pt idx="0">
                      <c:v>90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4"/>
              <c:tx>
                <c:strRef>
                  <c:f>ln22xln12!$AC$37</c:f>
                  <c:strCache>
                    <c:ptCount val="1"/>
                    <c:pt idx="0">
                      <c:v>91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5"/>
              <c:tx>
                <c:strRef>
                  <c:f>ln22xln12!$AC$38</c:f>
                  <c:strCache>
                    <c:ptCount val="1"/>
                    <c:pt idx="0">
                      <c:v>92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6"/>
              <c:tx>
                <c:strRef>
                  <c:f>ln22xln12!$AC$39</c:f>
                  <c:strCache>
                    <c:ptCount val="1"/>
                    <c:pt idx="0">
                      <c:v>93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7"/>
              <c:tx>
                <c:strRef>
                  <c:f>ln22xln12!$AC$40</c:f>
                  <c:strCache>
                    <c:ptCount val="1"/>
                    <c:pt idx="0">
                      <c:v>94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8"/>
              <c:tx>
                <c:strRef>
                  <c:f>ln22xln12!$AC$41</c:f>
                  <c:strCache>
                    <c:ptCount val="1"/>
                    <c:pt idx="0">
                      <c:v>95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9"/>
              <c:tx>
                <c:strRef>
                  <c:f>ln22xln12!$AC$42</c:f>
                  <c:strCache>
                    <c:ptCount val="1"/>
                    <c:pt idx="0">
                      <c:v>96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30"/>
              <c:tx>
                <c:strRef>
                  <c:f>ln22xln12!$AC$43</c:f>
                  <c:strCache>
                    <c:ptCount val="1"/>
                    <c:pt idx="0">
                      <c:v>97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31"/>
              <c:tx>
                <c:strRef>
                  <c:f>ln22xln12!$AC$60</c:f>
                  <c:strCache>
                    <c:ptCount val="1"/>
                    <c:pt idx="0">
                      <c:v>09</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showLegendKey val="0"/>
            <c:showVal val="0"/>
            <c:showCatName val="0"/>
            <c:showSerName val="0"/>
            <c:showPercent val="0"/>
            <c:showBubbleSize val="0"/>
          </c:dLbls>
          <c:xVal>
            <c:numRef>
              <c:f>ln22xln12!$Z$13:$Z$62</c:f>
              <c:numCache>
                <c:formatCode>General</c:formatCode>
                <c:ptCount val="50"/>
                <c:pt idx="0">
                  <c:v>11.536658238263195</c:v>
                </c:pt>
                <c:pt idx="1">
                  <c:v>11.488555614200711</c:v>
                </c:pt>
                <c:pt idx="2">
                  <c:v>12.580110559849002</c:v>
                </c:pt>
                <c:pt idx="3">
                  <c:v>12.864569076480791</c:v>
                </c:pt>
                <c:pt idx="4">
                  <c:v>12.618710702125638</c:v>
                </c:pt>
                <c:pt idx="5">
                  <c:v>11.485777379207695</c:v>
                </c:pt>
                <c:pt idx="6">
                  <c:v>11.890550097717687</c:v>
                </c:pt>
                <c:pt idx="7">
                  <c:v>11.527954939121013</c:v>
                </c:pt>
                <c:pt idx="8">
                  <c:v>11.337791564019003</c:v>
                </c:pt>
                <c:pt idx="9">
                  <c:v>10.786199106171235</c:v>
                </c:pt>
                <c:pt idx="10">
                  <c:v>11.849668897253039</c:v>
                </c:pt>
                <c:pt idx="11">
                  <c:v>10.319922690953129</c:v>
                </c:pt>
                <c:pt idx="12">
                  <c:v>11.947676971583181</c:v>
                </c:pt>
                <c:pt idx="13">
                  <c:v>11.137836486346464</c:v>
                </c:pt>
                <c:pt idx="14">
                  <c:v>12.065175246038875</c:v>
                </c:pt>
                <c:pt idx="15">
                  <c:v>11.814132726468909</c:v>
                </c:pt>
                <c:pt idx="16">
                  <c:v>12.793846775642196</c:v>
                </c:pt>
                <c:pt idx="17">
                  <c:v>12.755644426092186</c:v>
                </c:pt>
                <c:pt idx="18">
                  <c:v>12.223216515315409</c:v>
                </c:pt>
                <c:pt idx="19">
                  <c:v>11.964532789893058</c:v>
                </c:pt>
                <c:pt idx="20">
                  <c:v>12.585188327865673</c:v>
                </c:pt>
                <c:pt idx="21">
                  <c:v>11.642981829504725</c:v>
                </c:pt>
                <c:pt idx="22">
                  <c:v>12.593228770058985</c:v>
                </c:pt>
                <c:pt idx="23">
                  <c:v>12.391479356752267</c:v>
                </c:pt>
                <c:pt idx="24">
                  <c:v>12.555611132914068</c:v>
                </c:pt>
                <c:pt idx="25">
                  <c:v>12.345291589425951</c:v>
                </c:pt>
                <c:pt idx="26">
                  <c:v>12.379846726997387</c:v>
                </c:pt>
                <c:pt idx="27" formatCode="0.0000_)">
                  <c:v>12.428871221134534</c:v>
                </c:pt>
                <c:pt idx="28" formatCode="0.0000_)">
                  <c:v>12.258436364026526</c:v>
                </c:pt>
                <c:pt idx="29" formatCode="0.0000_)">
                  <c:v>13.002996181295167</c:v>
                </c:pt>
                <c:pt idx="30" formatCode="0.0000_)">
                  <c:v>13.133155005618168</c:v>
                </c:pt>
                <c:pt idx="31" formatCode="0.0000_)">
                  <c:v>12.418977384077587</c:v>
                </c:pt>
                <c:pt idx="32" formatCode="0.0000_)">
                  <c:v>12.511596953312337</c:v>
                </c:pt>
                <c:pt idx="33" formatCode="0.0000_)">
                  <c:v>12.2982204445282</c:v>
                </c:pt>
                <c:pt idx="34" formatCode="0.0000_)">
                  <c:v>11.24254472532397</c:v>
                </c:pt>
                <c:pt idx="35" formatCode="0.0000_)">
                  <c:v>11.519344460525044</c:v>
                </c:pt>
                <c:pt idx="36" formatCode="0.0000_)">
                  <c:v>12.791219118371064</c:v>
                </c:pt>
                <c:pt idx="37" formatCode="0.0000_)">
                  <c:v>12.514228118178037</c:v>
                </c:pt>
                <c:pt idx="38" formatCode="0.0000_)">
                  <c:v>13.125935222752243</c:v>
                </c:pt>
                <c:pt idx="39" formatCode="0.0000_)">
                  <c:v>12.461291763994264</c:v>
                </c:pt>
                <c:pt idx="40" formatCode="0.0000_)">
                  <c:v>12.90210788889968</c:v>
                </c:pt>
                <c:pt idx="41" formatCode="0.0000_)">
                  <c:v>11.881020630189884</c:v>
                </c:pt>
                <c:pt idx="42" formatCode="0.0000_)">
                  <c:v>11.545882550464155</c:v>
                </c:pt>
                <c:pt idx="43" formatCode="0.0000_)">
                  <c:v>12.761895949735445</c:v>
                </c:pt>
                <c:pt idx="44" formatCode="0.0000_)">
                  <c:v>12.923364923755361</c:v>
                </c:pt>
                <c:pt idx="45" formatCode="0.0000_)">
                  <c:v>13.000595114838205</c:v>
                </c:pt>
                <c:pt idx="46" formatCode="0.0000_)">
                  <c:v>13.030386808710347</c:v>
                </c:pt>
                <c:pt idx="47" formatCode="0.0000_)">
                  <c:v>13.385855647136685</c:v>
                </c:pt>
                <c:pt idx="49" formatCode="0.0000_)">
                  <c:v>13.454435293186728</c:v>
                </c:pt>
              </c:numCache>
            </c:numRef>
          </c:xVal>
          <c:yVal>
            <c:numRef>
              <c:f>ln22xln12!$AB$13:$AB$60</c:f>
              <c:numCache>
                <c:formatCode>General</c:formatCode>
                <c:ptCount val="48"/>
                <c:pt idx="0">
                  <c:v>9.1830558095757926</c:v>
                </c:pt>
                <c:pt idx="1">
                  <c:v>9.361806906405409</c:v>
                </c:pt>
                <c:pt idx="2">
                  <c:v>10.044501496465394</c:v>
                </c:pt>
                <c:pt idx="3">
                  <c:v>10.149185406051224</c:v>
                </c:pt>
                <c:pt idx="4">
                  <c:v>9.5831284261943281</c:v>
                </c:pt>
                <c:pt idx="5">
                  <c:v>9.0961528771355642</c:v>
                </c:pt>
                <c:pt idx="6">
                  <c:v>9.5747737376572584</c:v>
                </c:pt>
                <c:pt idx="7">
                  <c:v>10.676012017213226</c:v>
                </c:pt>
                <c:pt idx="8">
                  <c:v>9.6307284205651111</c:v>
                </c:pt>
                <c:pt idx="9">
                  <c:v>9.1792713306598923</c:v>
                </c:pt>
                <c:pt idx="10">
                  <c:v>8.8702652307234988</c:v>
                </c:pt>
                <c:pt idx="11">
                  <c:v>9.8369599134965462</c:v>
                </c:pt>
                <c:pt idx="12">
                  <c:v>9.8545823392586307</c:v>
                </c:pt>
                <c:pt idx="13">
                  <c:v>10.311052429506699</c:v>
                </c:pt>
                <c:pt idx="14">
                  <c:v>9.3922568166298035</c:v>
                </c:pt>
                <c:pt idx="15">
                  <c:v>10.156317736267425</c:v>
                </c:pt>
                <c:pt idx="16">
                  <c:v>10.33729449231382</c:v>
                </c:pt>
                <c:pt idx="17">
                  <c:v>9.7108349849448086</c:v>
                </c:pt>
                <c:pt idx="18">
                  <c:v>10.181945149571556</c:v>
                </c:pt>
                <c:pt idx="19">
                  <c:v>9.0619864355716402</c:v>
                </c:pt>
                <c:pt idx="20">
                  <c:v>9.315093953184272</c:v>
                </c:pt>
                <c:pt idx="21">
                  <c:v>9.8560775278142092</c:v>
                </c:pt>
                <c:pt idx="22">
                  <c:v>9.8974061373719184</c:v>
                </c:pt>
                <c:pt idx="23">
                  <c:v>11.093224203115401</c:v>
                </c:pt>
                <c:pt idx="24">
                  <c:v>8.7360473966242616</c:v>
                </c:pt>
                <c:pt idx="25">
                  <c:v>10.111457545898483</c:v>
                </c:pt>
                <c:pt idx="26">
                  <c:v>9.9129617126545728</c:v>
                </c:pt>
                <c:pt idx="27">
                  <c:v>9.6129829013257417</c:v>
                </c:pt>
                <c:pt idx="28">
                  <c:v>10.574583142822014</c:v>
                </c:pt>
                <c:pt idx="29">
                  <c:v>10.887887975016772</c:v>
                </c:pt>
                <c:pt idx="30">
                  <c:v>10.198544960378467</c:v>
                </c:pt>
                <c:pt idx="31">
                  <c:v>9.8528858812286817</c:v>
                </c:pt>
                <c:pt idx="32">
                  <c:v>10.460287109250565</c:v>
                </c:pt>
                <c:pt idx="33">
                  <c:v>9.1049258695616349</c:v>
                </c:pt>
                <c:pt idx="34">
                  <c:v>8.933054979268606</c:v>
                </c:pt>
                <c:pt idx="35">
                  <c:v>9.3153891456982763</c:v>
                </c:pt>
                <c:pt idx="36">
                  <c:v>9.4965134534434341</c:v>
                </c:pt>
                <c:pt idx="37">
                  <c:v>11.181371948983598</c:v>
                </c:pt>
                <c:pt idx="38">
                  <c:v>10.787155626946394</c:v>
                </c:pt>
                <c:pt idx="39">
                  <c:v>10.971602358695069</c:v>
                </c:pt>
                <c:pt idx="40">
                  <c:v>9.640021832322569</c:v>
                </c:pt>
                <c:pt idx="41">
                  <c:v>9.6421994068747559</c:v>
                </c:pt>
                <c:pt idx="42">
                  <c:v>10.541509658148065</c:v>
                </c:pt>
                <c:pt idx="43">
                  <c:v>9.9800919386839855</c:v>
                </c:pt>
                <c:pt idx="44">
                  <c:v>10.783812788447905</c:v>
                </c:pt>
                <c:pt idx="45">
                  <c:v>11.569452927271929</c:v>
                </c:pt>
                <c:pt idx="46">
                  <c:v>11.3541796957181</c:v>
                </c:pt>
                <c:pt idx="47">
                  <c:v>11.392566663424974</c:v>
                </c:pt>
              </c:numCache>
            </c:numRef>
          </c:yVal>
          <c:smooth val="0"/>
        </c:ser>
        <c:ser>
          <c:idx val="1"/>
          <c:order val="1"/>
          <c:spPr>
            <a:ln w="3175">
              <a:solidFill>
                <a:srgbClr val="0000FF"/>
              </a:solidFill>
              <a:prstDash val="solid"/>
            </a:ln>
          </c:spPr>
          <c:marker>
            <c:symbol val="none"/>
          </c:marker>
          <c:xVal>
            <c:numRef>
              <c:f>ln22xln12!$Z$13:$Z$62</c:f>
              <c:numCache>
                <c:formatCode>General</c:formatCode>
                <c:ptCount val="50"/>
                <c:pt idx="0">
                  <c:v>11.536658238263195</c:v>
                </c:pt>
                <c:pt idx="1">
                  <c:v>11.488555614200711</c:v>
                </c:pt>
                <c:pt idx="2">
                  <c:v>12.580110559849002</c:v>
                </c:pt>
                <c:pt idx="3">
                  <c:v>12.864569076480791</c:v>
                </c:pt>
                <c:pt idx="4">
                  <c:v>12.618710702125638</c:v>
                </c:pt>
                <c:pt idx="5">
                  <c:v>11.485777379207695</c:v>
                </c:pt>
                <c:pt idx="6">
                  <c:v>11.890550097717687</c:v>
                </c:pt>
                <c:pt idx="7">
                  <c:v>11.527954939121013</c:v>
                </c:pt>
                <c:pt idx="8">
                  <c:v>11.337791564019003</c:v>
                </c:pt>
                <c:pt idx="9">
                  <c:v>10.786199106171235</c:v>
                </c:pt>
                <c:pt idx="10">
                  <c:v>11.849668897253039</c:v>
                </c:pt>
                <c:pt idx="11">
                  <c:v>10.319922690953129</c:v>
                </c:pt>
                <c:pt idx="12">
                  <c:v>11.947676971583181</c:v>
                </c:pt>
                <c:pt idx="13">
                  <c:v>11.137836486346464</c:v>
                </c:pt>
                <c:pt idx="14">
                  <c:v>12.065175246038875</c:v>
                </c:pt>
                <c:pt idx="15">
                  <c:v>11.814132726468909</c:v>
                </c:pt>
                <c:pt idx="16">
                  <c:v>12.793846775642196</c:v>
                </c:pt>
                <c:pt idx="17">
                  <c:v>12.755644426092186</c:v>
                </c:pt>
                <c:pt idx="18">
                  <c:v>12.223216515315409</c:v>
                </c:pt>
                <c:pt idx="19">
                  <c:v>11.964532789893058</c:v>
                </c:pt>
                <c:pt idx="20">
                  <c:v>12.585188327865673</c:v>
                </c:pt>
                <c:pt idx="21">
                  <c:v>11.642981829504725</c:v>
                </c:pt>
                <c:pt idx="22">
                  <c:v>12.593228770058985</c:v>
                </c:pt>
                <c:pt idx="23">
                  <c:v>12.391479356752267</c:v>
                </c:pt>
                <c:pt idx="24">
                  <c:v>12.555611132914068</c:v>
                </c:pt>
                <c:pt idx="25">
                  <c:v>12.345291589425951</c:v>
                </c:pt>
                <c:pt idx="26">
                  <c:v>12.379846726997387</c:v>
                </c:pt>
                <c:pt idx="27" formatCode="0.0000_)">
                  <c:v>12.428871221134534</c:v>
                </c:pt>
                <c:pt idx="28" formatCode="0.0000_)">
                  <c:v>12.258436364026526</c:v>
                </c:pt>
                <c:pt idx="29" formatCode="0.0000_)">
                  <c:v>13.002996181295167</c:v>
                </c:pt>
                <c:pt idx="30" formatCode="0.0000_)">
                  <c:v>13.133155005618168</c:v>
                </c:pt>
                <c:pt idx="31" formatCode="0.0000_)">
                  <c:v>12.418977384077587</c:v>
                </c:pt>
                <c:pt idx="32" formatCode="0.0000_)">
                  <c:v>12.511596953312337</c:v>
                </c:pt>
                <c:pt idx="33" formatCode="0.0000_)">
                  <c:v>12.2982204445282</c:v>
                </c:pt>
                <c:pt idx="34" formatCode="0.0000_)">
                  <c:v>11.24254472532397</c:v>
                </c:pt>
                <c:pt idx="35" formatCode="0.0000_)">
                  <c:v>11.519344460525044</c:v>
                </c:pt>
                <c:pt idx="36" formatCode="0.0000_)">
                  <c:v>12.791219118371064</c:v>
                </c:pt>
                <c:pt idx="37" formatCode="0.0000_)">
                  <c:v>12.514228118178037</c:v>
                </c:pt>
                <c:pt idx="38" formatCode="0.0000_)">
                  <c:v>13.125935222752243</c:v>
                </c:pt>
                <c:pt idx="39" formatCode="0.0000_)">
                  <c:v>12.461291763994264</c:v>
                </c:pt>
                <c:pt idx="40" formatCode="0.0000_)">
                  <c:v>12.90210788889968</c:v>
                </c:pt>
                <c:pt idx="41" formatCode="0.0000_)">
                  <c:v>11.881020630189884</c:v>
                </c:pt>
                <c:pt idx="42" formatCode="0.0000_)">
                  <c:v>11.545882550464155</c:v>
                </c:pt>
                <c:pt idx="43" formatCode="0.0000_)">
                  <c:v>12.761895949735445</c:v>
                </c:pt>
                <c:pt idx="44" formatCode="0.0000_)">
                  <c:v>12.923364923755361</c:v>
                </c:pt>
                <c:pt idx="45" formatCode="0.0000_)">
                  <c:v>13.000595114838205</c:v>
                </c:pt>
                <c:pt idx="46" formatCode="0.0000_)">
                  <c:v>13.030386808710347</c:v>
                </c:pt>
                <c:pt idx="47" formatCode="0.0000_)">
                  <c:v>13.385855647136685</c:v>
                </c:pt>
                <c:pt idx="49" formatCode="0.0000_)">
                  <c:v>13.454435293186728</c:v>
                </c:pt>
              </c:numCache>
            </c:numRef>
          </c:xVal>
          <c:yVal>
            <c:numRef>
              <c:f>ln22xln12!$AD$13:$AD$42</c:f>
              <c:numCache>
                <c:formatCode>General</c:formatCode>
                <c:ptCount val="30"/>
                <c:pt idx="0">
                  <c:v>8.7959911811354488</c:v>
                </c:pt>
                <c:pt idx="1">
                  <c:v>8.7721103136728544</c:v>
                </c:pt>
                <c:pt idx="2">
                  <c:v>9.3140200222015395</c:v>
                </c:pt>
                <c:pt idx="3">
                  <c:v>9.4552413436301954</c:v>
                </c:pt>
                <c:pt idx="4">
                  <c:v>9.3331833194168468</c:v>
                </c:pt>
                <c:pt idx="5">
                  <c:v>8.7707310404431453</c:v>
                </c:pt>
                <c:pt idx="6">
                  <c:v>8.9716831471443221</c:v>
                </c:pt>
                <c:pt idx="7">
                  <c:v>8.791670370423919</c:v>
                </c:pt>
                <c:pt idx="8">
                  <c:v>8.6972624988044487</c:v>
                </c:pt>
                <c:pt idx="9">
                  <c:v>8.4234207565718826</c:v>
                </c:pt>
                <c:pt idx="10">
                  <c:v>8.9513874034289707</c:v>
                </c:pt>
                <c:pt idx="11">
                  <c:v>8.1919347308138519</c:v>
                </c:pt>
                <c:pt idx="12">
                  <c:v>9.0000441634074271</c:v>
                </c:pt>
                <c:pt idx="13">
                  <c:v>8.5979934713566379</c:v>
                </c:pt>
                <c:pt idx="14">
                  <c:v>9.0583769627930693</c:v>
                </c:pt>
                <c:pt idx="15">
                  <c:v>8.9337452352278852</c:v>
                </c:pt>
                <c:pt idx="16">
                  <c:v>9.420130787275049</c:v>
                </c:pt>
                <c:pt idx="17">
                  <c:v>9.4011649769030754</c:v>
                </c:pt>
                <c:pt idx="18">
                  <c:v>9.1368376014540829</c:v>
                </c:pt>
                <c:pt idx="19">
                  <c:v>9.0084123464510135</c:v>
                </c:pt>
                <c:pt idx="20">
                  <c:v>9.3165409138862501</c:v>
                </c:pt>
                <c:pt idx="21">
                  <c:v>8.8487762347592955</c:v>
                </c:pt>
                <c:pt idx="22">
                  <c:v>9.3205326448593837</c:v>
                </c:pt>
                <c:pt idx="23">
                  <c:v>9.2203728075587108</c:v>
                </c:pt>
                <c:pt idx="24">
                  <c:v>9.3018571188476038</c:v>
                </c:pt>
                <c:pt idx="25">
                  <c:v>9.1974425834511848</c:v>
                </c:pt>
                <c:pt idx="26">
                  <c:v>9.2145977111927238</c:v>
                </c:pt>
                <c:pt idx="27">
                  <c:v>9.2389362471817194</c:v>
                </c:pt>
                <c:pt idx="28">
                  <c:v>9.1543227294593699</c:v>
                </c:pt>
                <c:pt idx="29">
                  <c:v>9.5239643999650951</c:v>
                </c:pt>
              </c:numCache>
            </c:numRef>
          </c:yVal>
          <c:smooth val="0"/>
        </c:ser>
        <c:ser>
          <c:idx val="2"/>
          <c:order val="2"/>
          <c:spPr>
            <a:ln w="3175">
              <a:solidFill>
                <a:srgbClr val="FFFF00"/>
              </a:solidFill>
              <a:prstDash val="solid"/>
            </a:ln>
          </c:spPr>
          <c:marker>
            <c:symbol val="none"/>
          </c:marker>
          <c:xVal>
            <c:numRef>
              <c:f>ln22xln12!$Z$13:$Z$62</c:f>
              <c:numCache>
                <c:formatCode>General</c:formatCode>
                <c:ptCount val="50"/>
                <c:pt idx="0">
                  <c:v>11.536658238263195</c:v>
                </c:pt>
                <c:pt idx="1">
                  <c:v>11.488555614200711</c:v>
                </c:pt>
                <c:pt idx="2">
                  <c:v>12.580110559849002</c:v>
                </c:pt>
                <c:pt idx="3">
                  <c:v>12.864569076480791</c:v>
                </c:pt>
                <c:pt idx="4">
                  <c:v>12.618710702125638</c:v>
                </c:pt>
                <c:pt idx="5">
                  <c:v>11.485777379207695</c:v>
                </c:pt>
                <c:pt idx="6">
                  <c:v>11.890550097717687</c:v>
                </c:pt>
                <c:pt idx="7">
                  <c:v>11.527954939121013</c:v>
                </c:pt>
                <c:pt idx="8">
                  <c:v>11.337791564019003</c:v>
                </c:pt>
                <c:pt idx="9">
                  <c:v>10.786199106171235</c:v>
                </c:pt>
                <c:pt idx="10">
                  <c:v>11.849668897253039</c:v>
                </c:pt>
                <c:pt idx="11">
                  <c:v>10.319922690953129</c:v>
                </c:pt>
                <c:pt idx="12">
                  <c:v>11.947676971583181</c:v>
                </c:pt>
                <c:pt idx="13">
                  <c:v>11.137836486346464</c:v>
                </c:pt>
                <c:pt idx="14">
                  <c:v>12.065175246038875</c:v>
                </c:pt>
                <c:pt idx="15">
                  <c:v>11.814132726468909</c:v>
                </c:pt>
                <c:pt idx="16">
                  <c:v>12.793846775642196</c:v>
                </c:pt>
                <c:pt idx="17">
                  <c:v>12.755644426092186</c:v>
                </c:pt>
                <c:pt idx="18">
                  <c:v>12.223216515315409</c:v>
                </c:pt>
                <c:pt idx="19">
                  <c:v>11.964532789893058</c:v>
                </c:pt>
                <c:pt idx="20">
                  <c:v>12.585188327865673</c:v>
                </c:pt>
                <c:pt idx="21">
                  <c:v>11.642981829504725</c:v>
                </c:pt>
                <c:pt idx="22">
                  <c:v>12.593228770058985</c:v>
                </c:pt>
                <c:pt idx="23">
                  <c:v>12.391479356752267</c:v>
                </c:pt>
                <c:pt idx="24">
                  <c:v>12.555611132914068</c:v>
                </c:pt>
                <c:pt idx="25">
                  <c:v>12.345291589425951</c:v>
                </c:pt>
                <c:pt idx="26">
                  <c:v>12.379846726997387</c:v>
                </c:pt>
                <c:pt idx="27" formatCode="0.0000_)">
                  <c:v>12.428871221134534</c:v>
                </c:pt>
                <c:pt idx="28" formatCode="0.0000_)">
                  <c:v>12.258436364026526</c:v>
                </c:pt>
                <c:pt idx="29" formatCode="0.0000_)">
                  <c:v>13.002996181295167</c:v>
                </c:pt>
                <c:pt idx="30" formatCode="0.0000_)">
                  <c:v>13.133155005618168</c:v>
                </c:pt>
                <c:pt idx="31" formatCode="0.0000_)">
                  <c:v>12.418977384077587</c:v>
                </c:pt>
                <c:pt idx="32" formatCode="0.0000_)">
                  <c:v>12.511596953312337</c:v>
                </c:pt>
                <c:pt idx="33" formatCode="0.0000_)">
                  <c:v>12.2982204445282</c:v>
                </c:pt>
                <c:pt idx="34" formatCode="0.0000_)">
                  <c:v>11.24254472532397</c:v>
                </c:pt>
                <c:pt idx="35" formatCode="0.0000_)">
                  <c:v>11.519344460525044</c:v>
                </c:pt>
                <c:pt idx="36" formatCode="0.0000_)">
                  <c:v>12.791219118371064</c:v>
                </c:pt>
                <c:pt idx="37" formatCode="0.0000_)">
                  <c:v>12.514228118178037</c:v>
                </c:pt>
                <c:pt idx="38" formatCode="0.0000_)">
                  <c:v>13.125935222752243</c:v>
                </c:pt>
                <c:pt idx="39" formatCode="0.0000_)">
                  <c:v>12.461291763994264</c:v>
                </c:pt>
                <c:pt idx="40" formatCode="0.0000_)">
                  <c:v>12.90210788889968</c:v>
                </c:pt>
                <c:pt idx="41" formatCode="0.0000_)">
                  <c:v>11.881020630189884</c:v>
                </c:pt>
                <c:pt idx="42" formatCode="0.0000_)">
                  <c:v>11.545882550464155</c:v>
                </c:pt>
                <c:pt idx="43" formatCode="0.0000_)">
                  <c:v>12.761895949735445</c:v>
                </c:pt>
                <c:pt idx="44" formatCode="0.0000_)">
                  <c:v>12.923364923755361</c:v>
                </c:pt>
                <c:pt idx="45" formatCode="0.0000_)">
                  <c:v>13.000595114838205</c:v>
                </c:pt>
                <c:pt idx="46" formatCode="0.0000_)">
                  <c:v>13.030386808710347</c:v>
                </c:pt>
                <c:pt idx="47" formatCode="0.0000_)">
                  <c:v>13.385855647136685</c:v>
                </c:pt>
                <c:pt idx="49" formatCode="0.0000_)">
                  <c:v>13.454435293186728</c:v>
                </c:pt>
              </c:numCache>
            </c:numRef>
          </c:xVal>
          <c:yVal>
            <c:numRef>
              <c:f>ln22xln12!$AE$13:$AE$42</c:f>
              <c:numCache>
                <c:formatCode>General</c:formatCode>
                <c:ptCount val="30"/>
                <c:pt idx="0">
                  <c:v>10.499075161221239</c:v>
                </c:pt>
                <c:pt idx="1">
                  <c:v>10.475194293758648</c:v>
                </c:pt>
                <c:pt idx="2">
                  <c:v>11.017104002287333</c:v>
                </c:pt>
                <c:pt idx="3">
                  <c:v>11.158325323715985</c:v>
                </c:pt>
                <c:pt idx="4">
                  <c:v>11.03626729950264</c:v>
                </c:pt>
                <c:pt idx="5">
                  <c:v>10.473815020528935</c:v>
                </c:pt>
                <c:pt idx="6">
                  <c:v>10.674767127230115</c:v>
                </c:pt>
                <c:pt idx="7">
                  <c:v>10.494754350509712</c:v>
                </c:pt>
                <c:pt idx="8">
                  <c:v>10.400346478890242</c:v>
                </c:pt>
                <c:pt idx="9">
                  <c:v>10.126504736657672</c:v>
                </c:pt>
                <c:pt idx="10">
                  <c:v>10.654471383514764</c:v>
                </c:pt>
                <c:pt idx="11">
                  <c:v>9.8950187108996452</c:v>
                </c:pt>
                <c:pt idx="12">
                  <c:v>10.70312814349322</c:v>
                </c:pt>
                <c:pt idx="13">
                  <c:v>10.301077451442428</c:v>
                </c:pt>
                <c:pt idx="14">
                  <c:v>10.761460942878863</c:v>
                </c:pt>
                <c:pt idx="15">
                  <c:v>10.636829215313679</c:v>
                </c:pt>
                <c:pt idx="16">
                  <c:v>11.123214767360842</c:v>
                </c:pt>
                <c:pt idx="17">
                  <c:v>11.104248956988865</c:v>
                </c:pt>
                <c:pt idx="18">
                  <c:v>10.839921581539876</c:v>
                </c:pt>
                <c:pt idx="19">
                  <c:v>10.711496326536807</c:v>
                </c:pt>
                <c:pt idx="20">
                  <c:v>11.019624893972043</c:v>
                </c:pt>
                <c:pt idx="21">
                  <c:v>10.551860214845085</c:v>
                </c:pt>
                <c:pt idx="22">
                  <c:v>11.023616624945173</c:v>
                </c:pt>
                <c:pt idx="23">
                  <c:v>10.923456787644504</c:v>
                </c:pt>
                <c:pt idx="24">
                  <c:v>11.004941098933397</c:v>
                </c:pt>
                <c:pt idx="25">
                  <c:v>10.900526563536975</c:v>
                </c:pt>
                <c:pt idx="26">
                  <c:v>10.917681691278517</c:v>
                </c:pt>
                <c:pt idx="27">
                  <c:v>10.942020227267513</c:v>
                </c:pt>
                <c:pt idx="28">
                  <c:v>10.857406709545163</c:v>
                </c:pt>
                <c:pt idx="29">
                  <c:v>11.227048380050888</c:v>
                </c:pt>
              </c:numCache>
            </c:numRef>
          </c:yVal>
          <c:smooth val="0"/>
        </c:ser>
        <c:ser>
          <c:idx val="3"/>
          <c:order val="3"/>
          <c:tx>
            <c:v>Forecast</c:v>
          </c:tx>
          <c:spPr>
            <a:ln w="3175">
              <a:solidFill>
                <a:srgbClr val="FF00FF"/>
              </a:solidFill>
              <a:prstDash val="solid"/>
            </a:ln>
          </c:spPr>
          <c:marker>
            <c:symbol val="square"/>
            <c:size val="10"/>
            <c:spPr>
              <a:solidFill>
                <a:srgbClr val="FF00FF"/>
              </a:solidFill>
              <a:ln>
                <a:solidFill>
                  <a:srgbClr val="000000"/>
                </a:solidFill>
                <a:prstDash val="solid"/>
              </a:ln>
            </c:spPr>
          </c:marker>
          <c:xVal>
            <c:numRef>
              <c:f>ln22xln12!$Z$13:$Z$62</c:f>
              <c:numCache>
                <c:formatCode>General</c:formatCode>
                <c:ptCount val="50"/>
                <c:pt idx="0">
                  <c:v>11.536658238263195</c:v>
                </c:pt>
                <c:pt idx="1">
                  <c:v>11.488555614200711</c:v>
                </c:pt>
                <c:pt idx="2">
                  <c:v>12.580110559849002</c:v>
                </c:pt>
                <c:pt idx="3">
                  <c:v>12.864569076480791</c:v>
                </c:pt>
                <c:pt idx="4">
                  <c:v>12.618710702125638</c:v>
                </c:pt>
                <c:pt idx="5">
                  <c:v>11.485777379207695</c:v>
                </c:pt>
                <c:pt idx="6">
                  <c:v>11.890550097717687</c:v>
                </c:pt>
                <c:pt idx="7">
                  <c:v>11.527954939121013</c:v>
                </c:pt>
                <c:pt idx="8">
                  <c:v>11.337791564019003</c:v>
                </c:pt>
                <c:pt idx="9">
                  <c:v>10.786199106171235</c:v>
                </c:pt>
                <c:pt idx="10">
                  <c:v>11.849668897253039</c:v>
                </c:pt>
                <c:pt idx="11">
                  <c:v>10.319922690953129</c:v>
                </c:pt>
                <c:pt idx="12">
                  <c:v>11.947676971583181</c:v>
                </c:pt>
                <c:pt idx="13">
                  <c:v>11.137836486346464</c:v>
                </c:pt>
                <c:pt idx="14">
                  <c:v>12.065175246038875</c:v>
                </c:pt>
                <c:pt idx="15">
                  <c:v>11.814132726468909</c:v>
                </c:pt>
                <c:pt idx="16">
                  <c:v>12.793846775642196</c:v>
                </c:pt>
                <c:pt idx="17">
                  <c:v>12.755644426092186</c:v>
                </c:pt>
                <c:pt idx="18">
                  <c:v>12.223216515315409</c:v>
                </c:pt>
                <c:pt idx="19">
                  <c:v>11.964532789893058</c:v>
                </c:pt>
                <c:pt idx="20">
                  <c:v>12.585188327865673</c:v>
                </c:pt>
                <c:pt idx="21">
                  <c:v>11.642981829504725</c:v>
                </c:pt>
                <c:pt idx="22">
                  <c:v>12.593228770058985</c:v>
                </c:pt>
                <c:pt idx="23">
                  <c:v>12.391479356752267</c:v>
                </c:pt>
                <c:pt idx="24">
                  <c:v>12.555611132914068</c:v>
                </c:pt>
                <c:pt idx="25">
                  <c:v>12.345291589425951</c:v>
                </c:pt>
                <c:pt idx="26">
                  <c:v>12.379846726997387</c:v>
                </c:pt>
                <c:pt idx="27" formatCode="0.0000_)">
                  <c:v>12.428871221134534</c:v>
                </c:pt>
                <c:pt idx="28" formatCode="0.0000_)">
                  <c:v>12.258436364026526</c:v>
                </c:pt>
                <c:pt idx="29" formatCode="0.0000_)">
                  <c:v>13.002996181295167</c:v>
                </c:pt>
                <c:pt idx="30" formatCode="0.0000_)">
                  <c:v>13.133155005618168</c:v>
                </c:pt>
                <c:pt idx="31" formatCode="0.0000_)">
                  <c:v>12.418977384077587</c:v>
                </c:pt>
                <c:pt idx="32" formatCode="0.0000_)">
                  <c:v>12.511596953312337</c:v>
                </c:pt>
                <c:pt idx="33" formatCode="0.0000_)">
                  <c:v>12.2982204445282</c:v>
                </c:pt>
                <c:pt idx="34" formatCode="0.0000_)">
                  <c:v>11.24254472532397</c:v>
                </c:pt>
                <c:pt idx="35" formatCode="0.0000_)">
                  <c:v>11.519344460525044</c:v>
                </c:pt>
                <c:pt idx="36" formatCode="0.0000_)">
                  <c:v>12.791219118371064</c:v>
                </c:pt>
                <c:pt idx="37" formatCode="0.0000_)">
                  <c:v>12.514228118178037</c:v>
                </c:pt>
                <c:pt idx="38" formatCode="0.0000_)">
                  <c:v>13.125935222752243</c:v>
                </c:pt>
                <c:pt idx="39" formatCode="0.0000_)">
                  <c:v>12.461291763994264</c:v>
                </c:pt>
                <c:pt idx="40" formatCode="0.0000_)">
                  <c:v>12.90210788889968</c:v>
                </c:pt>
                <c:pt idx="41" formatCode="0.0000_)">
                  <c:v>11.881020630189884</c:v>
                </c:pt>
                <c:pt idx="42" formatCode="0.0000_)">
                  <c:v>11.545882550464155</c:v>
                </c:pt>
                <c:pt idx="43" formatCode="0.0000_)">
                  <c:v>12.761895949735445</c:v>
                </c:pt>
                <c:pt idx="44" formatCode="0.0000_)">
                  <c:v>12.923364923755361</c:v>
                </c:pt>
                <c:pt idx="45" formatCode="0.0000_)">
                  <c:v>13.000595114838205</c:v>
                </c:pt>
                <c:pt idx="46" formatCode="0.0000_)">
                  <c:v>13.030386808710347</c:v>
                </c:pt>
                <c:pt idx="47" formatCode="0.0000_)">
                  <c:v>13.385855647136685</c:v>
                </c:pt>
                <c:pt idx="49" formatCode="0.0000_)">
                  <c:v>13.454435293186728</c:v>
                </c:pt>
              </c:numCache>
            </c:numRef>
          </c:xVal>
          <c:yVal>
            <c:numRef>
              <c:f>ln22xln12!$AF$13:$AF$62</c:f>
              <c:numCache>
                <c:formatCode>General</c:formatCode>
                <c:ptCount val="50"/>
                <c:pt idx="49">
                  <c:v>10.599626337903342</c:v>
                </c:pt>
              </c:numCache>
            </c:numRef>
          </c:yVal>
          <c:smooth val="0"/>
        </c:ser>
        <c:dLbls>
          <c:showLegendKey val="0"/>
          <c:showVal val="0"/>
          <c:showCatName val="0"/>
          <c:showSerName val="0"/>
          <c:showPercent val="0"/>
          <c:showBubbleSize val="0"/>
        </c:dLbls>
        <c:axId val="368453888"/>
        <c:axId val="368476928"/>
      </c:scatterChart>
      <c:valAx>
        <c:axId val="368453888"/>
        <c:scaling>
          <c:orientation val="minMax"/>
          <c:min val="10"/>
        </c:scaling>
        <c:delete val="0"/>
        <c:axPos val="b"/>
        <c:title>
          <c:tx>
            <c:rich>
              <a:bodyPr/>
              <a:lstStyle/>
              <a:p>
                <a:pPr>
                  <a:defRPr sz="1000" b="0" i="0" u="none" strike="noStrike" baseline="0">
                    <a:solidFill>
                      <a:srgbClr val="000000"/>
                    </a:solidFill>
                    <a:latin typeface="Arial"/>
                    <a:ea typeface="Arial"/>
                    <a:cs typeface="Arial"/>
                  </a:defRPr>
                </a:pPr>
                <a:r>
                  <a:rPr lang="en-US"/>
                  <a:t>LN AGED 1.2</a:t>
                </a:r>
              </a:p>
            </c:rich>
          </c:tx>
          <c:layout>
            <c:manualLayout>
              <c:xMode val="edge"/>
              <c:yMode val="edge"/>
              <c:x val="0.47754601913109734"/>
              <c:y val="0.87349221614474326"/>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368476928"/>
        <c:crosses val="autoZero"/>
        <c:crossBetween val="midCat"/>
      </c:valAx>
      <c:valAx>
        <c:axId val="368476928"/>
        <c:scaling>
          <c:orientation val="minMax"/>
          <c:min val="8"/>
        </c:scaling>
        <c:delete val="0"/>
        <c:axPos val="l"/>
        <c:title>
          <c:tx>
            <c:rich>
              <a:bodyPr/>
              <a:lstStyle/>
              <a:p>
                <a:pPr>
                  <a:defRPr sz="1000" b="0" i="0" u="none" strike="noStrike" baseline="0">
                    <a:solidFill>
                      <a:srgbClr val="000000"/>
                    </a:solidFill>
                    <a:latin typeface="Arial"/>
                    <a:ea typeface="Arial"/>
                    <a:cs typeface="Arial"/>
                  </a:defRPr>
                </a:pPr>
                <a:r>
                  <a:rPr lang="en-US"/>
                  <a:t>LN AGED 2.2</a:t>
                </a:r>
              </a:p>
            </c:rich>
          </c:tx>
          <c:layout>
            <c:manualLayout>
              <c:xMode val="edge"/>
              <c:yMode val="edge"/>
              <c:x val="2.4010680422603656E-2"/>
              <c:y val="0.39669511730881252"/>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368453888"/>
        <c:crosses val="autoZero"/>
        <c:crossBetween val="midCat"/>
      </c:valAx>
      <c:spPr>
        <a:solidFill>
          <a:srgbClr val="FFFFFF"/>
        </a:solidFill>
        <a:ln w="12700">
          <a:solidFill>
            <a:srgbClr val="000000"/>
          </a:solidFill>
          <a:prstDash val="solid"/>
        </a:ln>
      </c:spPr>
    </c:plotArea>
    <c:legend>
      <c:legendPos val="r"/>
      <c:legendEntry>
        <c:idx val="1"/>
        <c:delete val="1"/>
      </c:legendEntry>
      <c:legendEntry>
        <c:idx val="2"/>
        <c:delete val="1"/>
      </c:legendEntry>
      <c:layout>
        <c:manualLayout>
          <c:xMode val="edge"/>
          <c:yMode val="edge"/>
          <c:x val="7.3365975724405952E-2"/>
          <c:y val="0.15829656789084701"/>
          <c:w val="0.14939982036200244"/>
          <c:h val="9.345214481777539E-2"/>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84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9525">
      <a:noFill/>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orientation="landscape" horizontalDpi="300" verticalDpi="300"/>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Times New Roman"/>
                <a:ea typeface="Times New Roman"/>
                <a:cs typeface="Times New Roman"/>
              </a:defRPr>
            </a:pPr>
            <a:r>
              <a:rPr lang="en-US" sz="1600" b="0" i="0" u="none" strike="noStrike" baseline="0">
                <a:solidFill>
                  <a:srgbClr val="000000"/>
                </a:solidFill>
                <a:latin typeface="Arial"/>
                <a:cs typeface="Arial"/>
              </a:rPr>
              <a:t>Copper River SOCKEYE SALMON</a:t>
            </a:r>
          </a:p>
          <a:p>
            <a:pPr>
              <a:defRPr sz="1000" b="0" i="0" u="none" strike="noStrike" baseline="0">
                <a:solidFill>
                  <a:srgbClr val="000000"/>
                </a:solidFill>
                <a:latin typeface="Times New Roman"/>
                <a:ea typeface="Times New Roman"/>
                <a:cs typeface="Times New Roman"/>
              </a:defRPr>
            </a:pPr>
            <a:r>
              <a:rPr lang="en-US" sz="1000" b="0" i="0" u="none" strike="noStrike" baseline="0">
                <a:solidFill>
                  <a:srgbClr val="000000"/>
                </a:solidFill>
                <a:latin typeface="Arial"/>
                <a:cs typeface="Arial"/>
              </a:rPr>
              <a:t>LN AGED 2.3 FROM LN AGED 2.2</a:t>
            </a:r>
          </a:p>
        </c:rich>
      </c:tx>
      <c:layout>
        <c:manualLayout>
          <c:xMode val="edge"/>
          <c:yMode val="edge"/>
          <c:x val="0.22563108605507151"/>
          <c:y val="3.9241418352117752E-2"/>
        </c:manualLayout>
      </c:layout>
      <c:overlay val="0"/>
      <c:spPr>
        <a:solidFill>
          <a:srgbClr val="FFFFFF"/>
        </a:solidFill>
        <a:ln w="12700">
          <a:solidFill>
            <a:srgbClr val="000000"/>
          </a:solidFill>
          <a:prstDash val="solid"/>
        </a:ln>
        <a:effectLst>
          <a:outerShdw dist="35921" dir="2700000" algn="br">
            <a:srgbClr val="000000"/>
          </a:outerShdw>
        </a:effectLst>
      </c:spPr>
    </c:title>
    <c:autoTitleDeleted val="0"/>
    <c:plotArea>
      <c:layout>
        <c:manualLayout>
          <c:layoutTarget val="inner"/>
          <c:xMode val="edge"/>
          <c:yMode val="edge"/>
          <c:x val="9.7971396017012796E-2"/>
          <c:y val="0.19424485244243353"/>
          <c:w val="0.85947633778561217"/>
          <c:h val="0.6710276720738636"/>
        </c:manualLayout>
      </c:layout>
      <c:scatterChart>
        <c:scatterStyle val="lineMarker"/>
        <c:varyColors val="0"/>
        <c:ser>
          <c:idx val="0"/>
          <c:order val="0"/>
          <c:tx>
            <c:v>ACTUAL</c:v>
          </c:tx>
          <c:spPr>
            <a:ln w="28575">
              <a:noFill/>
            </a:ln>
          </c:spPr>
          <c:marker>
            <c:symbol val="diamond"/>
            <c:size val="5"/>
            <c:spPr>
              <a:solidFill>
                <a:srgbClr val="00FF00"/>
              </a:solidFill>
              <a:ln>
                <a:solidFill>
                  <a:srgbClr val="000000"/>
                </a:solidFill>
                <a:prstDash val="solid"/>
              </a:ln>
            </c:spPr>
          </c:marker>
          <c:dLbls>
            <c:dLbl>
              <c:idx val="0"/>
              <c:tx>
                <c:strRef>
                  <c:f>ln23xln22!$AC$13</c:f>
                  <c:strCache>
                    <c:ptCount val="1"/>
                    <c:pt idx="0">
                      <c:v>68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
              <c:tx>
                <c:strRef>
                  <c:f>ln23xln22!$AC$14</c:f>
                  <c:strCache>
                    <c:ptCount val="1"/>
                    <c:pt idx="0">
                      <c:v>69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2"/>
              <c:tx>
                <c:strRef>
                  <c:f>ln23xln22!$AC$15</c:f>
                  <c:strCache>
                    <c:ptCount val="1"/>
                    <c:pt idx="0">
                      <c:v>70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3"/>
              <c:tx>
                <c:strRef>
                  <c:f>ln23xln22!$AC$16</c:f>
                  <c:strCache>
                    <c:ptCount val="1"/>
                    <c:pt idx="0">
                      <c:v>71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4"/>
              <c:tx>
                <c:strRef>
                  <c:f>ln23xln22!$AC$17</c:f>
                  <c:strCache>
                    <c:ptCount val="1"/>
                    <c:pt idx="0">
                      <c:v>72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5"/>
              <c:tx>
                <c:strRef>
                  <c:f>ln23xln22!$AC$18</c:f>
                  <c:strCache>
                    <c:ptCount val="1"/>
                    <c:pt idx="0">
                      <c:v>73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6"/>
              <c:tx>
                <c:strRef>
                  <c:f>ln23xln22!$AC$19</c:f>
                  <c:strCache>
                    <c:ptCount val="1"/>
                    <c:pt idx="0">
                      <c:v>74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7"/>
              <c:tx>
                <c:strRef>
                  <c:f>ln23xln22!$AC$20</c:f>
                  <c:strCache>
                    <c:ptCount val="1"/>
                    <c:pt idx="0">
                      <c:v>75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8"/>
              <c:tx>
                <c:strRef>
                  <c:f>ln23xln22!$AC$21</c:f>
                  <c:strCache>
                    <c:ptCount val="1"/>
                    <c:pt idx="0">
                      <c:v>76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9"/>
              <c:tx>
                <c:strRef>
                  <c:f>ln23xln22!$AC$22</c:f>
                  <c:strCache>
                    <c:ptCount val="1"/>
                    <c:pt idx="0">
                      <c:v>77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0"/>
              <c:tx>
                <c:strRef>
                  <c:f>ln23xln22!$AC$23</c:f>
                  <c:strCache>
                    <c:ptCount val="1"/>
                    <c:pt idx="0">
                      <c:v>78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1"/>
              <c:tx>
                <c:strRef>
                  <c:f>ln23xln22!$AC$24</c:f>
                  <c:strCache>
                    <c:ptCount val="1"/>
                    <c:pt idx="0">
                      <c:v>79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2"/>
              <c:tx>
                <c:strRef>
                  <c:f>ln23xln22!$AC$25</c:f>
                  <c:strCache>
                    <c:ptCount val="1"/>
                    <c:pt idx="0">
                      <c:v>80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3"/>
              <c:tx>
                <c:strRef>
                  <c:f>ln23xln22!$AC$26</c:f>
                  <c:strCache>
                    <c:ptCount val="1"/>
                    <c:pt idx="0">
                      <c:v>81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4"/>
              <c:tx>
                <c:strRef>
                  <c:f>ln23xln22!$AC$27</c:f>
                  <c:strCache>
                    <c:ptCount val="1"/>
                    <c:pt idx="0">
                      <c:v>82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5"/>
              <c:tx>
                <c:strRef>
                  <c:f>ln23xln22!$AC$28</c:f>
                  <c:strCache>
                    <c:ptCount val="1"/>
                    <c:pt idx="0">
                      <c:v>83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6"/>
              <c:tx>
                <c:strRef>
                  <c:f>ln23xln22!$AC$29</c:f>
                  <c:strCache>
                    <c:ptCount val="1"/>
                    <c:pt idx="0">
                      <c:v>84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7"/>
              <c:tx>
                <c:strRef>
                  <c:f>ln23xln22!$AC$30</c:f>
                  <c:strCache>
                    <c:ptCount val="1"/>
                    <c:pt idx="0">
                      <c:v>85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8"/>
              <c:tx>
                <c:strRef>
                  <c:f>ln23xln22!$AC$31</c:f>
                  <c:strCache>
                    <c:ptCount val="1"/>
                    <c:pt idx="0">
                      <c:v>86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19"/>
              <c:tx>
                <c:strRef>
                  <c:f>ln23xln22!$AC$32</c:f>
                  <c:strCache>
                    <c:ptCount val="1"/>
                    <c:pt idx="0">
                      <c:v>87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20"/>
              <c:tx>
                <c:strRef>
                  <c:f>ln23xln22!$AC$33</c:f>
                  <c:strCache>
                    <c:ptCount val="1"/>
                    <c:pt idx="0">
                      <c:v>88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21"/>
              <c:tx>
                <c:strRef>
                  <c:f>ln23xln22!$AC$34</c:f>
                  <c:strCache>
                    <c:ptCount val="1"/>
                    <c:pt idx="0">
                      <c:v>89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22"/>
              <c:tx>
                <c:strRef>
                  <c:f>ln23xln22!$AC$35</c:f>
                  <c:strCache>
                    <c:ptCount val="1"/>
                    <c:pt idx="0">
                      <c:v>90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23"/>
              <c:tx>
                <c:strRef>
                  <c:f>ln23xln22!$AC$36</c:f>
                  <c:strCache>
                    <c:ptCount val="1"/>
                    <c:pt idx="0">
                      <c:v>91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24"/>
              <c:tx>
                <c:strRef>
                  <c:f>ln23xln22!$AC$37</c:f>
                  <c:strCache>
                    <c:ptCount val="1"/>
                    <c:pt idx="0">
                      <c:v>92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25"/>
              <c:tx>
                <c:strRef>
                  <c:f>ln23xln22!$AC$38</c:f>
                  <c:strCache>
                    <c:ptCount val="1"/>
                    <c:pt idx="0">
                      <c:v>93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26"/>
              <c:tx>
                <c:strRef>
                  <c:f>ln23xln22!$AC$39</c:f>
                  <c:strCache>
                    <c:ptCount val="1"/>
                    <c:pt idx="0">
                      <c:v>94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27"/>
              <c:tx>
                <c:strRef>
                  <c:f>ln23xln22!$AC$40</c:f>
                  <c:strCache>
                    <c:ptCount val="1"/>
                    <c:pt idx="0">
                      <c:v>95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28"/>
              <c:tx>
                <c:strRef>
                  <c:f>ln23xln22!$AC$41</c:f>
                  <c:strCache>
                    <c:ptCount val="1"/>
                    <c:pt idx="0">
                      <c:v>96 </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dLbl>
              <c:idx val="29"/>
              <c:tx>
                <c:strRef>
                  <c:f>ln23xln22!$AC$59</c:f>
                  <c:strCache>
                    <c:ptCount val="1"/>
                    <c:pt idx="0">
                      <c:v>09</c:v>
                    </c:pt>
                  </c:strCache>
                </c:strRef>
              </c:tx>
              <c:spPr>
                <a:noFill/>
                <a:ln w="25400">
                  <a:noFill/>
                </a:ln>
              </c:spPr>
              <c:txPr>
                <a:bodyPr/>
                <a:lstStyle/>
                <a:p>
                  <a:pPr algn="ctr" rtl="1">
                    <a:defRPr sz="1000" b="0" i="0" u="none" strike="noStrike" baseline="0">
                      <a:solidFill>
                        <a:srgbClr val="000000"/>
                      </a:solidFill>
                      <a:latin typeface="Times New Roman"/>
                      <a:ea typeface="Times New Roman"/>
                      <a:cs typeface="Times New Roman"/>
                    </a:defRPr>
                  </a:pPr>
                  <a:endParaRPr lang="en-US"/>
                </a:p>
              </c:txPr>
              <c:showLegendKey val="0"/>
              <c:showVal val="0"/>
              <c:showCatName val="0"/>
              <c:showSerName val="0"/>
              <c:showPercent val="0"/>
              <c:showBubbleSize val="0"/>
            </c:dLbl>
            <c:showLegendKey val="0"/>
            <c:showVal val="0"/>
            <c:showCatName val="0"/>
            <c:showSerName val="0"/>
            <c:showPercent val="0"/>
            <c:showBubbleSize val="0"/>
          </c:dLbls>
          <c:trendline>
            <c:spPr>
              <a:ln w="25400">
                <a:solidFill>
                  <a:srgbClr val="000000"/>
                </a:solidFill>
                <a:prstDash val="solid"/>
              </a:ln>
            </c:spPr>
            <c:trendlineType val="linear"/>
            <c:dispRSqr val="1"/>
            <c:dispEq val="1"/>
            <c:trendlineLbl>
              <c:layout>
                <c:manualLayout>
                  <c:x val="2.6214407868298428E-2"/>
                  <c:y val="0.29144573071581331"/>
                </c:manualLayout>
              </c:layout>
              <c:numFmt formatCode="General" sourceLinked="0"/>
              <c:spPr>
                <a:noFill/>
                <a:ln w="25400">
                  <a:noFill/>
                </a:ln>
              </c:spPr>
              <c:txPr>
                <a:bodyPr/>
                <a:lstStyle/>
                <a:p>
                  <a:pPr>
                    <a:defRPr sz="1000" b="0" i="0" u="none" strike="noStrike" baseline="0">
                      <a:solidFill>
                        <a:srgbClr val="000000"/>
                      </a:solidFill>
                      <a:latin typeface="Times New Roman"/>
                      <a:ea typeface="Times New Roman"/>
                      <a:cs typeface="Times New Roman"/>
                    </a:defRPr>
                  </a:pPr>
                  <a:endParaRPr lang="en-US"/>
                </a:p>
              </c:txPr>
            </c:trendlineLbl>
          </c:trendline>
          <c:xVal>
            <c:numRef>
              <c:f>ln23xln22!$Z$13:$Z$61</c:f>
              <c:numCache>
                <c:formatCode>General</c:formatCode>
                <c:ptCount val="49"/>
                <c:pt idx="0">
                  <c:v>9.1830558095757926</c:v>
                </c:pt>
                <c:pt idx="1">
                  <c:v>9.361806906405409</c:v>
                </c:pt>
                <c:pt idx="2">
                  <c:v>10.044501496465394</c:v>
                </c:pt>
                <c:pt idx="3">
                  <c:v>10.149185406051224</c:v>
                </c:pt>
                <c:pt idx="4">
                  <c:v>9.5831284261943281</c:v>
                </c:pt>
                <c:pt idx="5">
                  <c:v>9.0961528771355642</c:v>
                </c:pt>
                <c:pt idx="6">
                  <c:v>9.5747737376572584</c:v>
                </c:pt>
                <c:pt idx="7">
                  <c:v>10.676012017213226</c:v>
                </c:pt>
                <c:pt idx="8">
                  <c:v>9.6307284205651111</c:v>
                </c:pt>
                <c:pt idx="9">
                  <c:v>9.1792713306598923</c:v>
                </c:pt>
                <c:pt idx="10">
                  <c:v>8.8702652307234988</c:v>
                </c:pt>
                <c:pt idx="11">
                  <c:v>9.8369599134965462</c:v>
                </c:pt>
                <c:pt idx="12">
                  <c:v>9.8545823392586307</c:v>
                </c:pt>
                <c:pt idx="13">
                  <c:v>10.311052429506699</c:v>
                </c:pt>
                <c:pt idx="14">
                  <c:v>9.3922568166298035</c:v>
                </c:pt>
                <c:pt idx="15">
                  <c:v>10.156317736267425</c:v>
                </c:pt>
                <c:pt idx="16">
                  <c:v>10.33729449231382</c:v>
                </c:pt>
                <c:pt idx="17">
                  <c:v>9.7108349849448086</c:v>
                </c:pt>
                <c:pt idx="18">
                  <c:v>10.181945149571556</c:v>
                </c:pt>
                <c:pt idx="19">
                  <c:v>9.0619864355716402</c:v>
                </c:pt>
                <c:pt idx="20">
                  <c:v>9.315093953184272</c:v>
                </c:pt>
                <c:pt idx="21">
                  <c:v>9.8560775278142092</c:v>
                </c:pt>
                <c:pt idx="22">
                  <c:v>9.8974061373719184</c:v>
                </c:pt>
                <c:pt idx="23">
                  <c:v>11.093224203115401</c:v>
                </c:pt>
                <c:pt idx="24">
                  <c:v>8.7360473966242616</c:v>
                </c:pt>
                <c:pt idx="25">
                  <c:v>10.111457545898483</c:v>
                </c:pt>
                <c:pt idx="26" formatCode="0.0000_)">
                  <c:v>9.9129617126545728</c:v>
                </c:pt>
                <c:pt idx="27" formatCode="0.0000_)">
                  <c:v>9.6129829013257417</c:v>
                </c:pt>
                <c:pt idx="28" formatCode="0.0000_)">
                  <c:v>10.574583142822014</c:v>
                </c:pt>
                <c:pt idx="29" formatCode="0.0000_)">
                  <c:v>10.887887975016772</c:v>
                </c:pt>
                <c:pt idx="30" formatCode="0.0000_)">
                  <c:v>10.198544960378467</c:v>
                </c:pt>
                <c:pt idx="31" formatCode="0.0000_)">
                  <c:v>9.8528858812286817</c:v>
                </c:pt>
                <c:pt idx="32" formatCode="0.0000_)">
                  <c:v>10.460287109250565</c:v>
                </c:pt>
                <c:pt idx="33" formatCode="0.0000_)">
                  <c:v>9.1049258695616349</c:v>
                </c:pt>
                <c:pt idx="34" formatCode="0.0000_)">
                  <c:v>8.933054979268606</c:v>
                </c:pt>
                <c:pt idx="35" formatCode="0.0000_)">
                  <c:v>9.3153891456982763</c:v>
                </c:pt>
                <c:pt idx="36" formatCode="0.0000_)">
                  <c:v>9.4965134534434341</c:v>
                </c:pt>
                <c:pt idx="37" formatCode="0.0000_)">
                  <c:v>11.181371948983598</c:v>
                </c:pt>
                <c:pt idx="38" formatCode="0.0000_)">
                  <c:v>10.787155626946394</c:v>
                </c:pt>
                <c:pt idx="39" formatCode="0.0000_)">
                  <c:v>10.971602358695069</c:v>
                </c:pt>
                <c:pt idx="40" formatCode="0.0000_)">
                  <c:v>9.640021832322569</c:v>
                </c:pt>
                <c:pt idx="41" formatCode="0.0000_)">
                  <c:v>9.6421994068747559</c:v>
                </c:pt>
                <c:pt idx="42" formatCode="0.0000_)">
                  <c:v>10.541509658148065</c:v>
                </c:pt>
                <c:pt idx="43" formatCode="0.0000_)">
                  <c:v>9.9800919386839855</c:v>
                </c:pt>
                <c:pt idx="44" formatCode="0.0000_)">
                  <c:v>10.783812788447905</c:v>
                </c:pt>
                <c:pt idx="45" formatCode="0.0000_)">
                  <c:v>11.569452927271929</c:v>
                </c:pt>
                <c:pt idx="46" formatCode="0.0000_)">
                  <c:v>11.3541796957181</c:v>
                </c:pt>
                <c:pt idx="48" formatCode="0.0000_)">
                  <c:v>11.392566663424974</c:v>
                </c:pt>
              </c:numCache>
            </c:numRef>
          </c:xVal>
          <c:yVal>
            <c:numRef>
              <c:f>ln23xln22!$AB$13:$AB$59</c:f>
              <c:numCache>
                <c:formatCode>General</c:formatCode>
                <c:ptCount val="47"/>
                <c:pt idx="0">
                  <c:v>10.236123333560183</c:v>
                </c:pt>
                <c:pt idx="1">
                  <c:v>9.1614112184967418</c:v>
                </c:pt>
                <c:pt idx="2">
                  <c:v>10.120788143584148</c:v>
                </c:pt>
                <c:pt idx="3">
                  <c:v>12.398763016885381</c:v>
                </c:pt>
                <c:pt idx="4">
                  <c:v>12.543705480093045</c:v>
                </c:pt>
                <c:pt idx="5">
                  <c:v>10.848894926054982</c:v>
                </c:pt>
                <c:pt idx="6">
                  <c:v>11.111108922927762</c:v>
                </c:pt>
                <c:pt idx="7">
                  <c:v>11.582377948203689</c:v>
                </c:pt>
                <c:pt idx="8">
                  <c:v>10.232866188291677</c:v>
                </c:pt>
                <c:pt idx="9">
                  <c:v>11.343314071920092</c:v>
                </c:pt>
                <c:pt idx="10">
                  <c:v>10.424623999335015</c:v>
                </c:pt>
                <c:pt idx="11">
                  <c:v>11.333201803339398</c:v>
                </c:pt>
                <c:pt idx="12">
                  <c:v>10.311052429506699</c:v>
                </c:pt>
                <c:pt idx="13">
                  <c:v>11.107014176116621</c:v>
                </c:pt>
                <c:pt idx="14">
                  <c:v>11.250051004390706</c:v>
                </c:pt>
                <c:pt idx="15">
                  <c:v>11.874501853485977</c:v>
                </c:pt>
                <c:pt idx="16">
                  <c:v>11.832392100060035</c:v>
                </c:pt>
                <c:pt idx="17">
                  <c:v>12.03909876504431</c:v>
                </c:pt>
                <c:pt idx="18">
                  <c:v>11.946366878055242</c:v>
                </c:pt>
                <c:pt idx="19">
                  <c:v>11.473324069819592</c:v>
                </c:pt>
                <c:pt idx="20">
                  <c:v>11.194600157856149</c:v>
                </c:pt>
                <c:pt idx="21">
                  <c:v>11.925526431997534</c:v>
                </c:pt>
                <c:pt idx="22">
                  <c:v>12.310883218316269</c:v>
                </c:pt>
                <c:pt idx="23">
                  <c:v>11.13243535189706</c:v>
                </c:pt>
                <c:pt idx="24">
                  <c:v>11.536437818183675</c:v>
                </c:pt>
                <c:pt idx="25">
                  <c:v>12.031153527709229</c:v>
                </c:pt>
                <c:pt idx="26">
                  <c:v>10.935939568976963</c:v>
                </c:pt>
                <c:pt idx="27">
                  <c:v>11.637273415799703</c:v>
                </c:pt>
                <c:pt idx="28">
                  <c:v>11.822220700393405</c:v>
                </c:pt>
                <c:pt idx="29">
                  <c:v>12.511092697732716</c:v>
                </c:pt>
                <c:pt idx="30">
                  <c:v>11.253294061849042</c:v>
                </c:pt>
                <c:pt idx="31">
                  <c:v>11.146441355660475</c:v>
                </c:pt>
                <c:pt idx="32">
                  <c:v>11.401999710839833</c:v>
                </c:pt>
                <c:pt idx="33">
                  <c:v>11.000829021215486</c:v>
                </c:pt>
                <c:pt idx="34">
                  <c:v>11.14150094542507</c:v>
                </c:pt>
                <c:pt idx="35">
                  <c:v>10.654471468435247</c:v>
                </c:pt>
                <c:pt idx="36">
                  <c:v>11.220704201581443</c:v>
                </c:pt>
                <c:pt idx="37">
                  <c:v>12.063667836941788</c:v>
                </c:pt>
                <c:pt idx="38">
                  <c:v>12.204299814724289</c:v>
                </c:pt>
                <c:pt idx="39">
                  <c:v>12.576248535357729</c:v>
                </c:pt>
                <c:pt idx="40">
                  <c:v>11.639129281017061</c:v>
                </c:pt>
                <c:pt idx="41">
                  <c:v>12.304166427631953</c:v>
                </c:pt>
                <c:pt idx="42">
                  <c:v>11.366689966564724</c:v>
                </c:pt>
                <c:pt idx="43">
                  <c:v>11.759463248879864</c:v>
                </c:pt>
                <c:pt idx="44">
                  <c:v>11.569237899901379</c:v>
                </c:pt>
                <c:pt idx="45">
                  <c:v>12.591428938588949</c:v>
                </c:pt>
                <c:pt idx="46">
                  <c:v>12.095403347211487</c:v>
                </c:pt>
              </c:numCache>
            </c:numRef>
          </c:yVal>
          <c:smooth val="0"/>
        </c:ser>
        <c:ser>
          <c:idx val="1"/>
          <c:order val="1"/>
          <c:spPr>
            <a:ln w="12700">
              <a:solidFill>
                <a:srgbClr val="FF0000"/>
              </a:solidFill>
              <a:prstDash val="solid"/>
            </a:ln>
          </c:spPr>
          <c:marker>
            <c:symbol val="none"/>
          </c:marker>
          <c:xVal>
            <c:numRef>
              <c:f>ln23xln22!$Z$13:$Z$61</c:f>
              <c:numCache>
                <c:formatCode>General</c:formatCode>
                <c:ptCount val="49"/>
                <c:pt idx="0">
                  <c:v>9.1830558095757926</c:v>
                </c:pt>
                <c:pt idx="1">
                  <c:v>9.361806906405409</c:v>
                </c:pt>
                <c:pt idx="2">
                  <c:v>10.044501496465394</c:v>
                </c:pt>
                <c:pt idx="3">
                  <c:v>10.149185406051224</c:v>
                </c:pt>
                <c:pt idx="4">
                  <c:v>9.5831284261943281</c:v>
                </c:pt>
                <c:pt idx="5">
                  <c:v>9.0961528771355642</c:v>
                </c:pt>
                <c:pt idx="6">
                  <c:v>9.5747737376572584</c:v>
                </c:pt>
                <c:pt idx="7">
                  <c:v>10.676012017213226</c:v>
                </c:pt>
                <c:pt idx="8">
                  <c:v>9.6307284205651111</c:v>
                </c:pt>
                <c:pt idx="9">
                  <c:v>9.1792713306598923</c:v>
                </c:pt>
                <c:pt idx="10">
                  <c:v>8.8702652307234988</c:v>
                </c:pt>
                <c:pt idx="11">
                  <c:v>9.8369599134965462</c:v>
                </c:pt>
                <c:pt idx="12">
                  <c:v>9.8545823392586307</c:v>
                </c:pt>
                <c:pt idx="13">
                  <c:v>10.311052429506699</c:v>
                </c:pt>
                <c:pt idx="14">
                  <c:v>9.3922568166298035</c:v>
                </c:pt>
                <c:pt idx="15">
                  <c:v>10.156317736267425</c:v>
                </c:pt>
                <c:pt idx="16">
                  <c:v>10.33729449231382</c:v>
                </c:pt>
                <c:pt idx="17">
                  <c:v>9.7108349849448086</c:v>
                </c:pt>
                <c:pt idx="18">
                  <c:v>10.181945149571556</c:v>
                </c:pt>
                <c:pt idx="19">
                  <c:v>9.0619864355716402</c:v>
                </c:pt>
                <c:pt idx="20">
                  <c:v>9.315093953184272</c:v>
                </c:pt>
                <c:pt idx="21">
                  <c:v>9.8560775278142092</c:v>
                </c:pt>
                <c:pt idx="22">
                  <c:v>9.8974061373719184</c:v>
                </c:pt>
                <c:pt idx="23">
                  <c:v>11.093224203115401</c:v>
                </c:pt>
                <c:pt idx="24">
                  <c:v>8.7360473966242616</c:v>
                </c:pt>
                <c:pt idx="25">
                  <c:v>10.111457545898483</c:v>
                </c:pt>
                <c:pt idx="26" formatCode="0.0000_)">
                  <c:v>9.9129617126545728</c:v>
                </c:pt>
                <c:pt idx="27" formatCode="0.0000_)">
                  <c:v>9.6129829013257417</c:v>
                </c:pt>
                <c:pt idx="28" formatCode="0.0000_)">
                  <c:v>10.574583142822014</c:v>
                </c:pt>
                <c:pt idx="29" formatCode="0.0000_)">
                  <c:v>10.887887975016772</c:v>
                </c:pt>
                <c:pt idx="30" formatCode="0.0000_)">
                  <c:v>10.198544960378467</c:v>
                </c:pt>
                <c:pt idx="31" formatCode="0.0000_)">
                  <c:v>9.8528858812286817</c:v>
                </c:pt>
                <c:pt idx="32" formatCode="0.0000_)">
                  <c:v>10.460287109250565</c:v>
                </c:pt>
                <c:pt idx="33" formatCode="0.0000_)">
                  <c:v>9.1049258695616349</c:v>
                </c:pt>
                <c:pt idx="34" formatCode="0.0000_)">
                  <c:v>8.933054979268606</c:v>
                </c:pt>
                <c:pt idx="35" formatCode="0.0000_)">
                  <c:v>9.3153891456982763</c:v>
                </c:pt>
                <c:pt idx="36" formatCode="0.0000_)">
                  <c:v>9.4965134534434341</c:v>
                </c:pt>
                <c:pt idx="37" formatCode="0.0000_)">
                  <c:v>11.181371948983598</c:v>
                </c:pt>
                <c:pt idx="38" formatCode="0.0000_)">
                  <c:v>10.787155626946394</c:v>
                </c:pt>
                <c:pt idx="39" formatCode="0.0000_)">
                  <c:v>10.971602358695069</c:v>
                </c:pt>
                <c:pt idx="40" formatCode="0.0000_)">
                  <c:v>9.640021832322569</c:v>
                </c:pt>
                <c:pt idx="41" formatCode="0.0000_)">
                  <c:v>9.6421994068747559</c:v>
                </c:pt>
                <c:pt idx="42" formatCode="0.0000_)">
                  <c:v>10.541509658148065</c:v>
                </c:pt>
                <c:pt idx="43" formatCode="0.0000_)">
                  <c:v>9.9800919386839855</c:v>
                </c:pt>
                <c:pt idx="44" formatCode="0.0000_)">
                  <c:v>10.783812788447905</c:v>
                </c:pt>
                <c:pt idx="45" formatCode="0.0000_)">
                  <c:v>11.569452927271929</c:v>
                </c:pt>
                <c:pt idx="46" formatCode="0.0000_)">
                  <c:v>11.3541796957181</c:v>
                </c:pt>
                <c:pt idx="48" formatCode="0.0000_)">
                  <c:v>11.392566663424974</c:v>
                </c:pt>
              </c:numCache>
            </c:numRef>
          </c:xVal>
          <c:yVal>
            <c:numRef>
              <c:f>ln23xln22!$AD$13:$AD$59</c:f>
              <c:numCache>
                <c:formatCode>General</c:formatCode>
                <c:ptCount val="47"/>
                <c:pt idx="0">
                  <c:v>10.179609733665313</c:v>
                </c:pt>
                <c:pt idx="1">
                  <c:v>10.273508974157851</c:v>
                </c:pt>
                <c:pt idx="2">
                  <c:v>10.632133366578229</c:v>
                </c:pt>
                <c:pt idx="3">
                  <c:v>10.687124579366527</c:v>
                </c:pt>
                <c:pt idx="4">
                  <c:v>10.389770764890486</c:v>
                </c:pt>
                <c:pt idx="5">
                  <c:v>10.133958996425418</c:v>
                </c:pt>
                <c:pt idx="6">
                  <c:v>10.385381986739768</c:v>
                </c:pt>
                <c:pt idx="7">
                  <c:v>10.963870398199306</c:v>
                </c:pt>
                <c:pt idx="8">
                  <c:v>10.414775385271225</c:v>
                </c:pt>
                <c:pt idx="9">
                  <c:v>10.177621719593423</c:v>
                </c:pt>
                <c:pt idx="10">
                  <c:v>10.015298586442269</c:v>
                </c:pt>
                <c:pt idx="11">
                  <c:v>10.523110276051575</c:v>
                </c:pt>
                <c:pt idx="12">
                  <c:v>10.532367463414589</c:v>
                </c:pt>
                <c:pt idx="13">
                  <c:v>10.77215449433116</c:v>
                </c:pt>
                <c:pt idx="14">
                  <c:v>10.289504531633293</c:v>
                </c:pt>
                <c:pt idx="15">
                  <c:v>10.690871243874446</c:v>
                </c:pt>
                <c:pt idx="16">
                  <c:v>10.785939639207191</c:v>
                </c:pt>
                <c:pt idx="17">
                  <c:v>10.456855941346863</c:v>
                </c:pt>
                <c:pt idx="18">
                  <c:v>10.704333508933106</c:v>
                </c:pt>
                <c:pt idx="19">
                  <c:v>10.116011118230057</c:v>
                </c:pt>
                <c:pt idx="20">
                  <c:v>10.248970322891228</c:v>
                </c:pt>
                <c:pt idx="21">
                  <c:v>10.533152896747598</c:v>
                </c:pt>
                <c:pt idx="22">
                  <c:v>10.554863113450663</c:v>
                </c:pt>
                <c:pt idx="23">
                  <c:v>11.183034968796532</c:v>
                </c:pt>
                <c:pt idx="24">
                  <c:v>9.9447929900794936</c:v>
                </c:pt>
                <c:pt idx="25">
                  <c:v>10.667305862298022</c:v>
                </c:pt>
                <c:pt idx="26">
                  <c:v>10.563034569348682</c:v>
                </c:pt>
                <c:pt idx="27">
                  <c:v>10.405453536016724</c:v>
                </c:pt>
                <c:pt idx="28">
                  <c:v>10.910589078877244</c:v>
                </c:pt>
                <c:pt idx="29">
                  <c:v>11.075170367090385</c:v>
                </c:pt>
                <c:pt idx="30">
                  <c:v>10.713053509284064</c:v>
                </c:pt>
                <c:pt idx="31">
                  <c:v>10.531476301774939</c:v>
                </c:pt>
                <c:pt idx="32">
                  <c:v>10.85054854802725</c:v>
                </c:pt>
                <c:pt idx="33">
                  <c:v>10.138567512626244</c:v>
                </c:pt>
                <c:pt idx="34">
                  <c:v>10.048282494254162</c:v>
                </c:pt>
                <c:pt idx="35">
                  <c:v>10.249125389648052</c:v>
                </c:pt>
                <c:pt idx="36">
                  <c:v>10.344271294952446</c:v>
                </c:pt>
                <c:pt idx="37">
                  <c:v>11.229339615508954</c:v>
                </c:pt>
                <c:pt idx="38">
                  <c:v>11.022254938068684</c:v>
                </c:pt>
                <c:pt idx="39">
                  <c:v>11.1191461366667</c:v>
                </c:pt>
                <c:pt idx="40">
                  <c:v>10.419657281500605</c:v>
                </c:pt>
                <c:pt idx="41">
                  <c:v>10.420801177119669</c:v>
                </c:pt>
                <c:pt idx="42">
                  <c:v>10.893215338819662</c:v>
                </c:pt>
                <c:pt idx="43">
                  <c:v>10.598298561290855</c:v>
                </c:pt>
                <c:pt idx="44">
                  <c:v>11.020498920893603</c:v>
                </c:pt>
                <c:pt idx="45">
                  <c:v>11.433201352623831</c:v>
                </c:pt>
                <c:pt idx="46">
                  <c:v>11.320116771327267</c:v>
                </c:pt>
              </c:numCache>
            </c:numRef>
          </c:yVal>
          <c:smooth val="0"/>
        </c:ser>
        <c:ser>
          <c:idx val="2"/>
          <c:order val="2"/>
          <c:spPr>
            <a:ln w="38100">
              <a:solidFill>
                <a:srgbClr val="0000FF"/>
              </a:solidFill>
              <a:prstDash val="solid"/>
            </a:ln>
          </c:spPr>
          <c:marker>
            <c:symbol val="none"/>
          </c:marker>
          <c:xVal>
            <c:numRef>
              <c:f>ln23xln22!$Z$13:$Z$61</c:f>
              <c:numCache>
                <c:formatCode>General</c:formatCode>
                <c:ptCount val="49"/>
                <c:pt idx="0">
                  <c:v>9.1830558095757926</c:v>
                </c:pt>
                <c:pt idx="1">
                  <c:v>9.361806906405409</c:v>
                </c:pt>
                <c:pt idx="2">
                  <c:v>10.044501496465394</c:v>
                </c:pt>
                <c:pt idx="3">
                  <c:v>10.149185406051224</c:v>
                </c:pt>
                <c:pt idx="4">
                  <c:v>9.5831284261943281</c:v>
                </c:pt>
                <c:pt idx="5">
                  <c:v>9.0961528771355642</c:v>
                </c:pt>
                <c:pt idx="6">
                  <c:v>9.5747737376572584</c:v>
                </c:pt>
                <c:pt idx="7">
                  <c:v>10.676012017213226</c:v>
                </c:pt>
                <c:pt idx="8">
                  <c:v>9.6307284205651111</c:v>
                </c:pt>
                <c:pt idx="9">
                  <c:v>9.1792713306598923</c:v>
                </c:pt>
                <c:pt idx="10">
                  <c:v>8.8702652307234988</c:v>
                </c:pt>
                <c:pt idx="11">
                  <c:v>9.8369599134965462</c:v>
                </c:pt>
                <c:pt idx="12">
                  <c:v>9.8545823392586307</c:v>
                </c:pt>
                <c:pt idx="13">
                  <c:v>10.311052429506699</c:v>
                </c:pt>
                <c:pt idx="14">
                  <c:v>9.3922568166298035</c:v>
                </c:pt>
                <c:pt idx="15">
                  <c:v>10.156317736267425</c:v>
                </c:pt>
                <c:pt idx="16">
                  <c:v>10.33729449231382</c:v>
                </c:pt>
                <c:pt idx="17">
                  <c:v>9.7108349849448086</c:v>
                </c:pt>
                <c:pt idx="18">
                  <c:v>10.181945149571556</c:v>
                </c:pt>
                <c:pt idx="19">
                  <c:v>9.0619864355716402</c:v>
                </c:pt>
                <c:pt idx="20">
                  <c:v>9.315093953184272</c:v>
                </c:pt>
                <c:pt idx="21">
                  <c:v>9.8560775278142092</c:v>
                </c:pt>
                <c:pt idx="22">
                  <c:v>9.8974061373719184</c:v>
                </c:pt>
                <c:pt idx="23">
                  <c:v>11.093224203115401</c:v>
                </c:pt>
                <c:pt idx="24">
                  <c:v>8.7360473966242616</c:v>
                </c:pt>
                <c:pt idx="25">
                  <c:v>10.111457545898483</c:v>
                </c:pt>
                <c:pt idx="26" formatCode="0.0000_)">
                  <c:v>9.9129617126545728</c:v>
                </c:pt>
                <c:pt idx="27" formatCode="0.0000_)">
                  <c:v>9.6129829013257417</c:v>
                </c:pt>
                <c:pt idx="28" formatCode="0.0000_)">
                  <c:v>10.574583142822014</c:v>
                </c:pt>
                <c:pt idx="29" formatCode="0.0000_)">
                  <c:v>10.887887975016772</c:v>
                </c:pt>
                <c:pt idx="30" formatCode="0.0000_)">
                  <c:v>10.198544960378467</c:v>
                </c:pt>
                <c:pt idx="31" formatCode="0.0000_)">
                  <c:v>9.8528858812286817</c:v>
                </c:pt>
                <c:pt idx="32" formatCode="0.0000_)">
                  <c:v>10.460287109250565</c:v>
                </c:pt>
                <c:pt idx="33" formatCode="0.0000_)">
                  <c:v>9.1049258695616349</c:v>
                </c:pt>
                <c:pt idx="34" formatCode="0.0000_)">
                  <c:v>8.933054979268606</c:v>
                </c:pt>
                <c:pt idx="35" formatCode="0.0000_)">
                  <c:v>9.3153891456982763</c:v>
                </c:pt>
                <c:pt idx="36" formatCode="0.0000_)">
                  <c:v>9.4965134534434341</c:v>
                </c:pt>
                <c:pt idx="37" formatCode="0.0000_)">
                  <c:v>11.181371948983598</c:v>
                </c:pt>
                <c:pt idx="38" formatCode="0.0000_)">
                  <c:v>10.787155626946394</c:v>
                </c:pt>
                <c:pt idx="39" formatCode="0.0000_)">
                  <c:v>10.971602358695069</c:v>
                </c:pt>
                <c:pt idx="40" formatCode="0.0000_)">
                  <c:v>9.640021832322569</c:v>
                </c:pt>
                <c:pt idx="41" formatCode="0.0000_)">
                  <c:v>9.6421994068747559</c:v>
                </c:pt>
                <c:pt idx="42" formatCode="0.0000_)">
                  <c:v>10.541509658148065</c:v>
                </c:pt>
                <c:pt idx="43" formatCode="0.0000_)">
                  <c:v>9.9800919386839855</c:v>
                </c:pt>
                <c:pt idx="44" formatCode="0.0000_)">
                  <c:v>10.783812788447905</c:v>
                </c:pt>
                <c:pt idx="45" formatCode="0.0000_)">
                  <c:v>11.569452927271929</c:v>
                </c:pt>
                <c:pt idx="46" formatCode="0.0000_)">
                  <c:v>11.3541796957181</c:v>
                </c:pt>
                <c:pt idx="48" formatCode="0.0000_)">
                  <c:v>11.392566663424974</c:v>
                </c:pt>
              </c:numCache>
            </c:numRef>
          </c:xVal>
          <c:yVal>
            <c:numRef>
              <c:f>ln23xln22!$AE$13:$AE$59</c:f>
              <c:numCache>
                <c:formatCode>General</c:formatCode>
                <c:ptCount val="47"/>
                <c:pt idx="0">
                  <c:v>11.908762657985491</c:v>
                </c:pt>
                <c:pt idx="1">
                  <c:v>12.00266189847803</c:v>
                </c:pt>
                <c:pt idx="2">
                  <c:v>12.361286290898407</c:v>
                </c:pt>
                <c:pt idx="3">
                  <c:v>12.416277503686706</c:v>
                </c:pt>
                <c:pt idx="4">
                  <c:v>12.118923689210664</c:v>
                </c:pt>
                <c:pt idx="5">
                  <c:v>11.863111920745597</c:v>
                </c:pt>
                <c:pt idx="6">
                  <c:v>12.114534911059947</c:v>
                </c:pt>
                <c:pt idx="7">
                  <c:v>12.693023322519485</c:v>
                </c:pt>
                <c:pt idx="8">
                  <c:v>12.143928309591404</c:v>
                </c:pt>
                <c:pt idx="9">
                  <c:v>11.906774643913602</c:v>
                </c:pt>
                <c:pt idx="10">
                  <c:v>11.744451510762447</c:v>
                </c:pt>
                <c:pt idx="11">
                  <c:v>12.252263200371754</c:v>
                </c:pt>
                <c:pt idx="12">
                  <c:v>12.261520387734768</c:v>
                </c:pt>
                <c:pt idx="13">
                  <c:v>12.501307418651338</c:v>
                </c:pt>
                <c:pt idx="14">
                  <c:v>12.018657455953472</c:v>
                </c:pt>
                <c:pt idx="15">
                  <c:v>12.420024168194624</c:v>
                </c:pt>
                <c:pt idx="16">
                  <c:v>12.51509256352737</c:v>
                </c:pt>
                <c:pt idx="17">
                  <c:v>12.186008865667041</c:v>
                </c:pt>
                <c:pt idx="18">
                  <c:v>12.433486433253284</c:v>
                </c:pt>
                <c:pt idx="19">
                  <c:v>11.845164042550236</c:v>
                </c:pt>
                <c:pt idx="20">
                  <c:v>11.978123247211407</c:v>
                </c:pt>
                <c:pt idx="21">
                  <c:v>12.262305821067777</c:v>
                </c:pt>
                <c:pt idx="22">
                  <c:v>12.284016037770842</c:v>
                </c:pt>
                <c:pt idx="23">
                  <c:v>12.912187893116711</c:v>
                </c:pt>
                <c:pt idx="24">
                  <c:v>11.673945914399672</c:v>
                </c:pt>
                <c:pt idx="25">
                  <c:v>12.396458786618201</c:v>
                </c:pt>
                <c:pt idx="26">
                  <c:v>12.292187493668861</c:v>
                </c:pt>
                <c:pt idx="27">
                  <c:v>12.134606460336903</c:v>
                </c:pt>
                <c:pt idx="28">
                  <c:v>12.639742003197423</c:v>
                </c:pt>
                <c:pt idx="29">
                  <c:v>12.804323291410563</c:v>
                </c:pt>
                <c:pt idx="30">
                  <c:v>12.442206433604243</c:v>
                </c:pt>
                <c:pt idx="31">
                  <c:v>12.260629226095118</c:v>
                </c:pt>
                <c:pt idx="32">
                  <c:v>12.579701472347429</c:v>
                </c:pt>
                <c:pt idx="33">
                  <c:v>11.867720436946422</c:v>
                </c:pt>
                <c:pt idx="34">
                  <c:v>11.77743541857434</c:v>
                </c:pt>
                <c:pt idx="35">
                  <c:v>11.978278313968231</c:v>
                </c:pt>
                <c:pt idx="36">
                  <c:v>12.073424219272624</c:v>
                </c:pt>
                <c:pt idx="37">
                  <c:v>12.958492539829132</c:v>
                </c:pt>
                <c:pt idx="38">
                  <c:v>12.751407862388863</c:v>
                </c:pt>
                <c:pt idx="39">
                  <c:v>12.848299060986879</c:v>
                </c:pt>
                <c:pt idx="40">
                  <c:v>12.148810205820784</c:v>
                </c:pt>
                <c:pt idx="41">
                  <c:v>12.149954101439848</c:v>
                </c:pt>
                <c:pt idx="42">
                  <c:v>12.62236826313984</c:v>
                </c:pt>
                <c:pt idx="43">
                  <c:v>12.327451485611034</c:v>
                </c:pt>
                <c:pt idx="44">
                  <c:v>12.749651845213782</c:v>
                </c:pt>
                <c:pt idx="45">
                  <c:v>13.16235427694401</c:v>
                </c:pt>
                <c:pt idx="46">
                  <c:v>13.049269695647446</c:v>
                </c:pt>
              </c:numCache>
            </c:numRef>
          </c:yVal>
          <c:smooth val="0"/>
        </c:ser>
        <c:ser>
          <c:idx val="3"/>
          <c:order val="3"/>
          <c:tx>
            <c:v>Forecast</c:v>
          </c:tx>
          <c:spPr>
            <a:ln w="12700">
              <a:solidFill>
                <a:srgbClr val="FF00FF"/>
              </a:solidFill>
              <a:prstDash val="solid"/>
            </a:ln>
          </c:spPr>
          <c:marker>
            <c:symbol val="square"/>
            <c:size val="10"/>
            <c:spPr>
              <a:solidFill>
                <a:srgbClr val="FF00FF"/>
              </a:solidFill>
              <a:ln>
                <a:solidFill>
                  <a:srgbClr val="000000"/>
                </a:solidFill>
                <a:prstDash val="solid"/>
              </a:ln>
            </c:spPr>
          </c:marker>
          <c:xVal>
            <c:numRef>
              <c:f>ln23xln22!$Z$13:$Z$61</c:f>
              <c:numCache>
                <c:formatCode>General</c:formatCode>
                <c:ptCount val="49"/>
                <c:pt idx="0">
                  <c:v>9.1830558095757926</c:v>
                </c:pt>
                <c:pt idx="1">
                  <c:v>9.361806906405409</c:v>
                </c:pt>
                <c:pt idx="2">
                  <c:v>10.044501496465394</c:v>
                </c:pt>
                <c:pt idx="3">
                  <c:v>10.149185406051224</c:v>
                </c:pt>
                <c:pt idx="4">
                  <c:v>9.5831284261943281</c:v>
                </c:pt>
                <c:pt idx="5">
                  <c:v>9.0961528771355642</c:v>
                </c:pt>
                <c:pt idx="6">
                  <c:v>9.5747737376572584</c:v>
                </c:pt>
                <c:pt idx="7">
                  <c:v>10.676012017213226</c:v>
                </c:pt>
                <c:pt idx="8">
                  <c:v>9.6307284205651111</c:v>
                </c:pt>
                <c:pt idx="9">
                  <c:v>9.1792713306598923</c:v>
                </c:pt>
                <c:pt idx="10">
                  <c:v>8.8702652307234988</c:v>
                </c:pt>
                <c:pt idx="11">
                  <c:v>9.8369599134965462</c:v>
                </c:pt>
                <c:pt idx="12">
                  <c:v>9.8545823392586307</c:v>
                </c:pt>
                <c:pt idx="13">
                  <c:v>10.311052429506699</c:v>
                </c:pt>
                <c:pt idx="14">
                  <c:v>9.3922568166298035</c:v>
                </c:pt>
                <c:pt idx="15">
                  <c:v>10.156317736267425</c:v>
                </c:pt>
                <c:pt idx="16">
                  <c:v>10.33729449231382</c:v>
                </c:pt>
                <c:pt idx="17">
                  <c:v>9.7108349849448086</c:v>
                </c:pt>
                <c:pt idx="18">
                  <c:v>10.181945149571556</c:v>
                </c:pt>
                <c:pt idx="19">
                  <c:v>9.0619864355716402</c:v>
                </c:pt>
                <c:pt idx="20">
                  <c:v>9.315093953184272</c:v>
                </c:pt>
                <c:pt idx="21">
                  <c:v>9.8560775278142092</c:v>
                </c:pt>
                <c:pt idx="22">
                  <c:v>9.8974061373719184</c:v>
                </c:pt>
                <c:pt idx="23">
                  <c:v>11.093224203115401</c:v>
                </c:pt>
                <c:pt idx="24">
                  <c:v>8.7360473966242616</c:v>
                </c:pt>
                <c:pt idx="25">
                  <c:v>10.111457545898483</c:v>
                </c:pt>
                <c:pt idx="26" formatCode="0.0000_)">
                  <c:v>9.9129617126545728</c:v>
                </c:pt>
                <c:pt idx="27" formatCode="0.0000_)">
                  <c:v>9.6129829013257417</c:v>
                </c:pt>
                <c:pt idx="28" formatCode="0.0000_)">
                  <c:v>10.574583142822014</c:v>
                </c:pt>
                <c:pt idx="29" formatCode="0.0000_)">
                  <c:v>10.887887975016772</c:v>
                </c:pt>
                <c:pt idx="30" formatCode="0.0000_)">
                  <c:v>10.198544960378467</c:v>
                </c:pt>
                <c:pt idx="31" formatCode="0.0000_)">
                  <c:v>9.8528858812286817</c:v>
                </c:pt>
                <c:pt idx="32" formatCode="0.0000_)">
                  <c:v>10.460287109250565</c:v>
                </c:pt>
                <c:pt idx="33" formatCode="0.0000_)">
                  <c:v>9.1049258695616349</c:v>
                </c:pt>
                <c:pt idx="34" formatCode="0.0000_)">
                  <c:v>8.933054979268606</c:v>
                </c:pt>
                <c:pt idx="35" formatCode="0.0000_)">
                  <c:v>9.3153891456982763</c:v>
                </c:pt>
                <c:pt idx="36" formatCode="0.0000_)">
                  <c:v>9.4965134534434341</c:v>
                </c:pt>
                <c:pt idx="37" formatCode="0.0000_)">
                  <c:v>11.181371948983598</c:v>
                </c:pt>
                <c:pt idx="38" formatCode="0.0000_)">
                  <c:v>10.787155626946394</c:v>
                </c:pt>
                <c:pt idx="39" formatCode="0.0000_)">
                  <c:v>10.971602358695069</c:v>
                </c:pt>
                <c:pt idx="40" formatCode="0.0000_)">
                  <c:v>9.640021832322569</c:v>
                </c:pt>
                <c:pt idx="41" formatCode="0.0000_)">
                  <c:v>9.6421994068747559</c:v>
                </c:pt>
                <c:pt idx="42" formatCode="0.0000_)">
                  <c:v>10.541509658148065</c:v>
                </c:pt>
                <c:pt idx="43" formatCode="0.0000_)">
                  <c:v>9.9800919386839855</c:v>
                </c:pt>
                <c:pt idx="44" formatCode="0.0000_)">
                  <c:v>10.783812788447905</c:v>
                </c:pt>
                <c:pt idx="45" formatCode="0.0000_)">
                  <c:v>11.569452927271929</c:v>
                </c:pt>
                <c:pt idx="46" formatCode="0.0000_)">
                  <c:v>11.3541796957181</c:v>
                </c:pt>
                <c:pt idx="48" formatCode="0.0000_)">
                  <c:v>11.392566663424974</c:v>
                </c:pt>
              </c:numCache>
            </c:numRef>
          </c:xVal>
          <c:yVal>
            <c:numRef>
              <c:f>ln23xln22!$AF$13:$AF$61</c:f>
              <c:numCache>
                <c:formatCode>General</c:formatCode>
                <c:ptCount val="49"/>
                <c:pt idx="48">
                  <c:v>12.204858184508176</c:v>
                </c:pt>
              </c:numCache>
            </c:numRef>
          </c:yVal>
          <c:smooth val="0"/>
        </c:ser>
        <c:dLbls>
          <c:showLegendKey val="0"/>
          <c:showVal val="0"/>
          <c:showCatName val="0"/>
          <c:showSerName val="0"/>
          <c:showPercent val="0"/>
          <c:showBubbleSize val="0"/>
        </c:dLbls>
        <c:axId val="369037696"/>
        <c:axId val="369040000"/>
      </c:scatterChart>
      <c:valAx>
        <c:axId val="369037696"/>
        <c:scaling>
          <c:orientation val="minMax"/>
          <c:min val="8.5"/>
        </c:scaling>
        <c:delete val="0"/>
        <c:axPos val="b"/>
        <c:title>
          <c:tx>
            <c:rich>
              <a:bodyPr/>
              <a:lstStyle/>
              <a:p>
                <a:pPr>
                  <a:defRPr sz="1000" b="0" i="0" u="none" strike="noStrike" baseline="0">
                    <a:solidFill>
                      <a:srgbClr val="000000"/>
                    </a:solidFill>
                    <a:latin typeface="Arial"/>
                    <a:ea typeface="Arial"/>
                    <a:cs typeface="Arial"/>
                  </a:defRPr>
                </a:pPr>
                <a:r>
                  <a:rPr lang="en-US"/>
                  <a:t>LN AGED 2.2</a:t>
                </a:r>
              </a:p>
            </c:rich>
          </c:tx>
          <c:layout>
            <c:manualLayout>
              <c:xMode val="edge"/>
              <c:yMode val="edge"/>
              <c:x val="0.46610632250850276"/>
              <c:y val="0.92413463023004472"/>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369040000"/>
        <c:crosses val="autoZero"/>
        <c:crossBetween val="midCat"/>
      </c:valAx>
      <c:valAx>
        <c:axId val="369040000"/>
        <c:scaling>
          <c:orientation val="minMax"/>
          <c:min val="8"/>
        </c:scaling>
        <c:delete val="0"/>
        <c:axPos val="l"/>
        <c:title>
          <c:tx>
            <c:rich>
              <a:bodyPr/>
              <a:lstStyle/>
              <a:p>
                <a:pPr>
                  <a:defRPr sz="1000" b="0" i="0" u="none" strike="noStrike" baseline="0">
                    <a:solidFill>
                      <a:srgbClr val="000000"/>
                    </a:solidFill>
                    <a:latin typeface="Arial"/>
                    <a:ea typeface="Arial"/>
                    <a:cs typeface="Arial"/>
                  </a:defRPr>
                </a:pPr>
                <a:r>
                  <a:rPr lang="en-US"/>
                  <a:t>LN AGED 2.3</a:t>
                </a:r>
              </a:p>
            </c:rich>
          </c:tx>
          <c:layout>
            <c:manualLayout>
              <c:xMode val="edge"/>
              <c:yMode val="edge"/>
              <c:x val="2.5235055677212247E-2"/>
              <c:y val="0.44931377695435526"/>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369037696"/>
        <c:crosses val="autoZero"/>
        <c:crossBetween val="midCat"/>
      </c:valAx>
      <c:spPr>
        <a:solidFill>
          <a:srgbClr val="FFFFFF"/>
        </a:solidFill>
        <a:ln w="12700">
          <a:solidFill>
            <a:srgbClr val="000000"/>
          </a:solidFill>
          <a:prstDash val="solid"/>
        </a:ln>
      </c:spPr>
    </c:plotArea>
    <c:legend>
      <c:legendPos val="r"/>
      <c:legendEntry>
        <c:idx val="1"/>
        <c:delete val="1"/>
      </c:legendEntry>
      <c:legendEntry>
        <c:idx val="2"/>
        <c:delete val="1"/>
      </c:legendEntry>
      <c:layout>
        <c:manualLayout>
          <c:xMode val="edge"/>
          <c:yMode val="edge"/>
          <c:x val="0.13953501374458369"/>
          <c:y val="0.2158276980083372"/>
          <c:w val="0.19000512509900766"/>
          <c:h val="0.11968627450980682"/>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84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9525">
      <a:noFill/>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0" i="0" u="none" strike="noStrike" baseline="0">
                <a:solidFill>
                  <a:srgbClr val="000000"/>
                </a:solidFill>
                <a:latin typeface="SWISS"/>
                <a:ea typeface="SWISS"/>
                <a:cs typeface="SWISS"/>
              </a:defRPr>
            </a:pPr>
            <a:r>
              <a:rPr lang="en-US"/>
              <a:t>Percent Error of Age 23 Forecast Models</a:t>
            </a:r>
          </a:p>
        </c:rich>
      </c:tx>
      <c:layout>
        <c:manualLayout>
          <c:xMode val="edge"/>
          <c:yMode val="edge"/>
          <c:x val="0.17265138181256892"/>
          <c:y val="2.9065867806025571E-2"/>
        </c:manualLayout>
      </c:layout>
      <c:overlay val="0"/>
      <c:spPr>
        <a:solidFill>
          <a:srgbClr val="FFFFFF"/>
        </a:solidFill>
        <a:ln w="12700">
          <a:solidFill>
            <a:srgbClr val="000000"/>
          </a:solidFill>
          <a:prstDash val="solid"/>
        </a:ln>
        <a:effectLst>
          <a:outerShdw dist="35921" dir="2700000" algn="br">
            <a:srgbClr val="000000"/>
          </a:outerShdw>
        </a:effectLst>
      </c:spPr>
    </c:title>
    <c:autoTitleDeleted val="0"/>
    <c:plotArea>
      <c:layout>
        <c:manualLayout>
          <c:layoutTarget val="inner"/>
          <c:xMode val="edge"/>
          <c:yMode val="edge"/>
          <c:x val="0.14313835689478771"/>
          <c:y val="0.17439469938730068"/>
          <c:w val="0.62420128831438904"/>
          <c:h val="0.68512203330724653"/>
        </c:manualLayout>
      </c:layout>
      <c:scatterChart>
        <c:scatterStyle val="lineMarker"/>
        <c:varyColors val="0"/>
        <c:ser>
          <c:idx val="0"/>
          <c:order val="0"/>
          <c:tx>
            <c:v>ln 23 x ln 13</c:v>
          </c:tx>
          <c:spPr>
            <a:ln w="12700">
              <a:solidFill>
                <a:srgbClr val="FF0000"/>
              </a:solidFill>
              <a:prstDash val="solid"/>
            </a:ln>
          </c:spPr>
          <c:marker>
            <c:symbol val="square"/>
            <c:size val="5"/>
            <c:spPr>
              <a:solidFill>
                <a:srgbClr val="FF0000"/>
              </a:solidFill>
              <a:ln>
                <a:solidFill>
                  <a:srgbClr val="000000"/>
                </a:solidFill>
                <a:prstDash val="solid"/>
              </a:ln>
            </c:spPr>
          </c:marker>
          <c:xVal>
            <c:numRef>
              <c:f>ln23xln22!$A$13:$A$59</c:f>
              <c:numCache>
                <c:formatCode>General</c:formatCode>
                <c:ptCount val="47"/>
                <c:pt idx="0">
                  <c:v>1962</c:v>
                </c:pt>
                <c:pt idx="1">
                  <c:v>1963</c:v>
                </c:pt>
                <c:pt idx="2">
                  <c:v>1964</c:v>
                </c:pt>
                <c:pt idx="3">
                  <c:v>1965</c:v>
                </c:pt>
                <c:pt idx="4">
                  <c:v>1966</c:v>
                </c:pt>
                <c:pt idx="5">
                  <c:v>1967</c:v>
                </c:pt>
                <c:pt idx="6">
                  <c:v>1968</c:v>
                </c:pt>
                <c:pt idx="7">
                  <c:v>1969</c:v>
                </c:pt>
                <c:pt idx="8">
                  <c:v>1970</c:v>
                </c:pt>
                <c:pt idx="9">
                  <c:v>1971</c:v>
                </c:pt>
                <c:pt idx="10">
                  <c:v>1972</c:v>
                </c:pt>
                <c:pt idx="11">
                  <c:v>1973</c:v>
                </c:pt>
                <c:pt idx="12">
                  <c:v>1974</c:v>
                </c:pt>
                <c:pt idx="13">
                  <c:v>1975</c:v>
                </c:pt>
                <c:pt idx="14">
                  <c:v>1976</c:v>
                </c:pt>
                <c:pt idx="15">
                  <c:v>1977</c:v>
                </c:pt>
                <c:pt idx="16">
                  <c:v>1978</c:v>
                </c:pt>
                <c:pt idx="17">
                  <c:v>1979</c:v>
                </c:pt>
                <c:pt idx="18">
                  <c:v>1980</c:v>
                </c:pt>
                <c:pt idx="19">
                  <c:v>1981</c:v>
                </c:pt>
                <c:pt idx="20">
                  <c:v>1982</c:v>
                </c:pt>
                <c:pt idx="21">
                  <c:v>1983</c:v>
                </c:pt>
                <c:pt idx="22">
                  <c:v>1984</c:v>
                </c:pt>
                <c:pt idx="23">
                  <c:v>1985</c:v>
                </c:pt>
                <c:pt idx="24">
                  <c:v>1986</c:v>
                </c:pt>
                <c:pt idx="25">
                  <c:v>1987</c:v>
                </c:pt>
                <c:pt idx="26">
                  <c:v>1988</c:v>
                </c:pt>
                <c:pt idx="27">
                  <c:v>1989</c:v>
                </c:pt>
                <c:pt idx="28">
                  <c:v>1990</c:v>
                </c:pt>
                <c:pt idx="29">
                  <c:v>1991</c:v>
                </c:pt>
                <c:pt idx="30">
                  <c:v>1992</c:v>
                </c:pt>
                <c:pt idx="31">
                  <c:v>1993</c:v>
                </c:pt>
                <c:pt idx="32">
                  <c:v>1994</c:v>
                </c:pt>
                <c:pt idx="33">
                  <c:v>1995</c:v>
                </c:pt>
                <c:pt idx="34">
                  <c:v>1996</c:v>
                </c:pt>
                <c:pt idx="35">
                  <c:v>1997</c:v>
                </c:pt>
                <c:pt idx="36">
                  <c:v>1998</c:v>
                </c:pt>
                <c:pt idx="37">
                  <c:v>1999</c:v>
                </c:pt>
                <c:pt idx="38">
                  <c:v>2000</c:v>
                </c:pt>
                <c:pt idx="39">
                  <c:v>2001</c:v>
                </c:pt>
                <c:pt idx="40">
                  <c:v>2002</c:v>
                </c:pt>
                <c:pt idx="41">
                  <c:v>2003</c:v>
                </c:pt>
                <c:pt idx="42">
                  <c:v>2004</c:v>
                </c:pt>
                <c:pt idx="43">
                  <c:v>2005</c:v>
                </c:pt>
                <c:pt idx="44">
                  <c:v>2006</c:v>
                </c:pt>
                <c:pt idx="45">
                  <c:v>2007</c:v>
                </c:pt>
                <c:pt idx="46">
                  <c:v>2008</c:v>
                </c:pt>
              </c:numCache>
            </c:numRef>
          </c:xVal>
          <c:yVal>
            <c:numRef>
              <c:f>ln23xln22!$X$13:$X$59</c:f>
              <c:numCache>
                <c:formatCode>0.0%</c:formatCode>
                <c:ptCount val="47"/>
                <c:pt idx="0">
                  <c:v>1.3371746025833817</c:v>
                </c:pt>
                <c:pt idx="1">
                  <c:v>6.7912556929119763</c:v>
                </c:pt>
                <c:pt idx="2">
                  <c:v>3.0809113553807013</c:v>
                </c:pt>
                <c:pt idx="3">
                  <c:v>-0.57976228637893112</c:v>
                </c:pt>
                <c:pt idx="4">
                  <c:v>-0.73443525315399882</c:v>
                </c:pt>
                <c:pt idx="5">
                  <c:v>0.17148255851068051</c:v>
                </c:pt>
                <c:pt idx="6">
                  <c:v>0.15352899108477214</c:v>
                </c:pt>
                <c:pt idx="7">
                  <c:v>0.29369820842711797</c:v>
                </c:pt>
                <c:pt idx="8">
                  <c:v>1.9284955416643264</c:v>
                </c:pt>
                <c:pt idx="9">
                  <c:v>-0.2712589948702735</c:v>
                </c:pt>
                <c:pt idx="10">
                  <c:v>0.63519823840271195</c:v>
                </c:pt>
                <c:pt idx="11">
                  <c:v>5.7287276148334683E-2</c:v>
                </c:pt>
                <c:pt idx="12">
                  <c:v>2.0344683753919885</c:v>
                </c:pt>
                <c:pt idx="13">
                  <c:v>0.72348377418056886</c:v>
                </c:pt>
                <c:pt idx="14">
                  <c:v>-9.472099717396272E-2</c:v>
                </c:pt>
                <c:pt idx="15">
                  <c:v>-0.27861415680544621</c:v>
                </c:pt>
                <c:pt idx="16">
                  <c:v>-0.17061037161567449</c:v>
                </c:pt>
                <c:pt idx="17">
                  <c:v>-0.52064622252672577</c:v>
                </c:pt>
                <c:pt idx="18">
                  <c:v>-0.32060598426560505</c:v>
                </c:pt>
                <c:pt idx="19">
                  <c:v>-0.40704622414189012</c:v>
                </c:pt>
                <c:pt idx="20">
                  <c:v>-8.0946009019707554E-2</c:v>
                </c:pt>
                <c:pt idx="21">
                  <c:v>-0.41697491471020581</c:v>
                </c:pt>
                <c:pt idx="22">
                  <c:v>-0.59786744872780551</c:v>
                </c:pt>
                <c:pt idx="23">
                  <c:v>1.7013741754316845</c:v>
                </c:pt>
                <c:pt idx="24">
                  <c:v>-0.54947516526953633</c:v>
                </c:pt>
                <c:pt idx="25">
                  <c:v>-0.3999120797073093</c:v>
                </c:pt>
                <c:pt idx="26">
                  <c:v>0.65269223874162929</c:v>
                </c:pt>
                <c:pt idx="27">
                  <c:v>-0.31427414949289445</c:v>
                </c:pt>
                <c:pt idx="28">
                  <c:v>-4.7753357098807778E-2</c:v>
                </c:pt>
                <c:pt idx="29">
                  <c:v>-0.45548390202774747</c:v>
                </c:pt>
                <c:pt idx="30">
                  <c:v>0.39413002617853232</c:v>
                </c:pt>
                <c:pt idx="31">
                  <c:v>0.29067536771645125</c:v>
                </c:pt>
                <c:pt idx="32">
                  <c:v>0.38220315409600947</c:v>
                </c:pt>
                <c:pt idx="33">
                  <c:v>2.4497056111215765E-3</c:v>
                </c:pt>
                <c:pt idx="34">
                  <c:v>-0.21761232849485668</c:v>
                </c:pt>
                <c:pt idx="35">
                  <c:v>0.61323606329338454</c:v>
                </c:pt>
                <c:pt idx="36">
                  <c:v>-1.2158704809945197E-2</c:v>
                </c:pt>
                <c:pt idx="37">
                  <c:v>3.3738073135721386E-2</c:v>
                </c:pt>
                <c:pt idx="38">
                  <c:v>-0.28460845947564495</c:v>
                </c:pt>
                <c:pt idx="39">
                  <c:v>-0.47023508177381307</c:v>
                </c:pt>
                <c:pt idx="40">
                  <c:v>-0.30531162481705387</c:v>
                </c:pt>
                <c:pt idx="41">
                  <c:v>-0.64855302364082212</c:v>
                </c:pt>
                <c:pt idx="42">
                  <c:v>0.5007173332357896</c:v>
                </c:pt>
                <c:pt idx="43">
                  <c:v>-0.26143256888881011</c:v>
                </c:pt>
                <c:pt idx="44">
                  <c:v>0.39531121934909791</c:v>
                </c:pt>
                <c:pt idx="45">
                  <c:v>-0.28862117259035946</c:v>
                </c:pt>
                <c:pt idx="46">
                  <c:v>0.10536816081613241</c:v>
                </c:pt>
              </c:numCache>
            </c:numRef>
          </c:yVal>
          <c:smooth val="0"/>
        </c:ser>
        <c:ser>
          <c:idx val="1"/>
          <c:order val="1"/>
          <c:tx>
            <c:v>Ln(Avg-Actual)</c:v>
          </c:tx>
          <c:spPr>
            <a:ln w="12700">
              <a:solidFill>
                <a:srgbClr val="FF0000"/>
              </a:solidFill>
              <a:prstDash val="solid"/>
            </a:ln>
          </c:spPr>
          <c:marker>
            <c:symbol val="square"/>
            <c:size val="5"/>
            <c:spPr>
              <a:solidFill>
                <a:srgbClr val="FF0000"/>
              </a:solidFill>
              <a:ln>
                <a:solidFill>
                  <a:srgbClr val="000000"/>
                </a:solidFill>
                <a:prstDash val="solid"/>
              </a:ln>
            </c:spPr>
          </c:marker>
          <c:xVal>
            <c:numRef>
              <c:f>ln23xln22!$A$13:$A$59</c:f>
              <c:numCache>
                <c:formatCode>General</c:formatCode>
                <c:ptCount val="47"/>
                <c:pt idx="0">
                  <c:v>1962</c:v>
                </c:pt>
                <c:pt idx="1">
                  <c:v>1963</c:v>
                </c:pt>
                <c:pt idx="2">
                  <c:v>1964</c:v>
                </c:pt>
                <c:pt idx="3">
                  <c:v>1965</c:v>
                </c:pt>
                <c:pt idx="4">
                  <c:v>1966</c:v>
                </c:pt>
                <c:pt idx="5">
                  <c:v>1967</c:v>
                </c:pt>
                <c:pt idx="6">
                  <c:v>1968</c:v>
                </c:pt>
                <c:pt idx="7">
                  <c:v>1969</c:v>
                </c:pt>
                <c:pt idx="8">
                  <c:v>1970</c:v>
                </c:pt>
                <c:pt idx="9">
                  <c:v>1971</c:v>
                </c:pt>
                <c:pt idx="10">
                  <c:v>1972</c:v>
                </c:pt>
                <c:pt idx="11">
                  <c:v>1973</c:v>
                </c:pt>
                <c:pt idx="12">
                  <c:v>1974</c:v>
                </c:pt>
                <c:pt idx="13">
                  <c:v>1975</c:v>
                </c:pt>
                <c:pt idx="14">
                  <c:v>1976</c:v>
                </c:pt>
                <c:pt idx="15">
                  <c:v>1977</c:v>
                </c:pt>
                <c:pt idx="16">
                  <c:v>1978</c:v>
                </c:pt>
                <c:pt idx="17">
                  <c:v>1979</c:v>
                </c:pt>
                <c:pt idx="18">
                  <c:v>1980</c:v>
                </c:pt>
                <c:pt idx="19">
                  <c:v>1981</c:v>
                </c:pt>
                <c:pt idx="20">
                  <c:v>1982</c:v>
                </c:pt>
                <c:pt idx="21">
                  <c:v>1983</c:v>
                </c:pt>
                <c:pt idx="22">
                  <c:v>1984</c:v>
                </c:pt>
                <c:pt idx="23">
                  <c:v>1985</c:v>
                </c:pt>
                <c:pt idx="24">
                  <c:v>1986</c:v>
                </c:pt>
                <c:pt idx="25">
                  <c:v>1987</c:v>
                </c:pt>
                <c:pt idx="26">
                  <c:v>1988</c:v>
                </c:pt>
                <c:pt idx="27">
                  <c:v>1989</c:v>
                </c:pt>
                <c:pt idx="28">
                  <c:v>1990</c:v>
                </c:pt>
                <c:pt idx="29">
                  <c:v>1991</c:v>
                </c:pt>
                <c:pt idx="30">
                  <c:v>1992</c:v>
                </c:pt>
                <c:pt idx="31">
                  <c:v>1993</c:v>
                </c:pt>
                <c:pt idx="32">
                  <c:v>1994</c:v>
                </c:pt>
                <c:pt idx="33">
                  <c:v>1995</c:v>
                </c:pt>
                <c:pt idx="34">
                  <c:v>1996</c:v>
                </c:pt>
                <c:pt idx="35">
                  <c:v>1997</c:v>
                </c:pt>
                <c:pt idx="36">
                  <c:v>1998</c:v>
                </c:pt>
                <c:pt idx="37">
                  <c:v>1999</c:v>
                </c:pt>
                <c:pt idx="38">
                  <c:v>2000</c:v>
                </c:pt>
                <c:pt idx="39">
                  <c:v>2001</c:v>
                </c:pt>
                <c:pt idx="40">
                  <c:v>2002</c:v>
                </c:pt>
                <c:pt idx="41">
                  <c:v>2003</c:v>
                </c:pt>
                <c:pt idx="42">
                  <c:v>2004</c:v>
                </c:pt>
                <c:pt idx="43">
                  <c:v>2005</c:v>
                </c:pt>
                <c:pt idx="44">
                  <c:v>2006</c:v>
                </c:pt>
                <c:pt idx="45">
                  <c:v>2007</c:v>
                </c:pt>
                <c:pt idx="46">
                  <c:v>2008</c:v>
                </c:pt>
              </c:numCache>
            </c:numRef>
          </c:xVal>
          <c:yVal>
            <c:numRef>
              <c:f>ln23xln22!$B$67:$B$96</c:f>
              <c:numCache>
                <c:formatCode>0.00_)</c:formatCode>
                <c:ptCount val="30"/>
                <c:pt idx="0">
                  <c:v>0.75926319907919626</c:v>
                </c:pt>
                <c:pt idx="1">
                  <c:v>0.91781341335249678</c:v>
                </c:pt>
                <c:pt idx="2">
                  <c:v>0.78548728063186801</c:v>
                </c:pt>
                <c:pt idx="3">
                  <c:v>-1.0929794577637397</c:v>
                </c:pt>
                <c:pt idx="4">
                  <c:v>-1.4194278628096644</c:v>
                </c:pt>
                <c:pt idx="5">
                  <c:v>0.55571074886762462</c:v>
                </c:pt>
                <c:pt idx="6">
                  <c:v>0.42251075796756465</c:v>
                </c:pt>
                <c:pt idx="7">
                  <c:v>7.4847268531877773E-2</c:v>
                </c:pt>
                <c:pt idx="8">
                  <c:v>0.76004603820879246</c:v>
                </c:pt>
                <c:pt idx="9">
                  <c:v>0.27156750182119233</c:v>
                </c:pt>
                <c:pt idx="10">
                  <c:v>0.70932526580479704</c:v>
                </c:pt>
                <c:pt idx="11">
                  <c:v>0.2788964880930449</c:v>
                </c:pt>
                <c:pt idx="12">
                  <c:v>0.74053201573686855</c:v>
                </c:pt>
                <c:pt idx="13">
                  <c:v>0.42487059543410244</c:v>
                </c:pt>
                <c:pt idx="14">
                  <c:v>0.33643162851003833</c:v>
                </c:pt>
                <c:pt idx="15">
                  <c:v>-0.23902832713012301</c:v>
                </c:pt>
                <c:pt idx="16">
                  <c:v>-0.18793643290994808</c:v>
                </c:pt>
                <c:pt idx="17">
                  <c:v>-0.46071256786859738</c:v>
                </c:pt>
                <c:pt idx="18">
                  <c:v>-0.33134870170431774</c:v>
                </c:pt>
                <c:pt idx="19">
                  <c:v>0.17043210184289995</c:v>
                </c:pt>
                <c:pt idx="20">
                  <c:v>0.37222548550854034</c:v>
                </c:pt>
                <c:pt idx="21">
                  <c:v>-0.30388992134508014</c:v>
                </c:pt>
                <c:pt idx="22">
                  <c:v>-0.91689910337323421</c:v>
                </c:pt>
                <c:pt idx="23">
                  <c:v>0.41006271025881552</c:v>
                </c:pt>
                <c:pt idx="24">
                  <c:v>0.11638741972867545</c:v>
                </c:pt>
                <c:pt idx="25">
                  <c:v>-0.44915284302787717</c:v>
                </c:pt>
                <c:pt idx="26">
                  <c:v>0.51530469337340223</c:v>
                </c:pt>
                <c:pt idx="27">
                  <c:v>2.2640735479436323E-2</c:v>
                </c:pt>
                <c:pt idx="28">
                  <c:v>-0.17591469924572928</c:v>
                </c:pt>
                <c:pt idx="29">
                  <c:v>-1.3417963587321606</c:v>
                </c:pt>
              </c:numCache>
            </c:numRef>
          </c:yVal>
          <c:smooth val="0"/>
        </c:ser>
        <c:dLbls>
          <c:showLegendKey val="0"/>
          <c:showVal val="0"/>
          <c:showCatName val="0"/>
          <c:showSerName val="0"/>
          <c:showPercent val="0"/>
          <c:showBubbleSize val="0"/>
        </c:dLbls>
        <c:axId val="369083904"/>
        <c:axId val="369086848"/>
      </c:scatterChart>
      <c:valAx>
        <c:axId val="369083904"/>
        <c:scaling>
          <c:orientation val="minMax"/>
        </c:scaling>
        <c:delete val="0"/>
        <c:axPos val="b"/>
        <c:title>
          <c:tx>
            <c:rich>
              <a:bodyPr/>
              <a:lstStyle/>
              <a:p>
                <a:pPr>
                  <a:defRPr sz="1000" b="0" i="0" u="none" strike="noStrike" baseline="0">
                    <a:solidFill>
                      <a:srgbClr val="000000"/>
                    </a:solidFill>
                    <a:latin typeface="SWISS"/>
                    <a:ea typeface="SWISS"/>
                    <a:cs typeface="SWISS"/>
                  </a:defRPr>
                </a:pPr>
                <a:r>
                  <a:rPr lang="en-US"/>
                  <a:t>Year</a:t>
                </a:r>
              </a:p>
            </c:rich>
          </c:tx>
          <c:layout>
            <c:manualLayout>
              <c:xMode val="edge"/>
              <c:yMode val="edge"/>
              <c:x val="0.4323663733209886"/>
              <c:y val="0.92180049219420146"/>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SWISS"/>
                <a:ea typeface="SWISS"/>
                <a:cs typeface="SWISS"/>
              </a:defRPr>
            </a:pPr>
            <a:endParaRPr lang="en-US"/>
          </a:p>
        </c:txPr>
        <c:crossAx val="369086848"/>
        <c:crosses val="autoZero"/>
        <c:crossBetween val="midCat"/>
      </c:valAx>
      <c:valAx>
        <c:axId val="369086848"/>
        <c:scaling>
          <c:orientation val="minMax"/>
        </c:scaling>
        <c:delete val="0"/>
        <c:axPos val="l"/>
        <c:title>
          <c:tx>
            <c:rich>
              <a:bodyPr/>
              <a:lstStyle/>
              <a:p>
                <a:pPr>
                  <a:defRPr sz="1000" b="0" i="0" u="none" strike="noStrike" baseline="0">
                    <a:solidFill>
                      <a:srgbClr val="000000"/>
                    </a:solidFill>
                    <a:latin typeface="SWISS"/>
                    <a:ea typeface="SWISS"/>
                    <a:cs typeface="SWISS"/>
                  </a:defRPr>
                </a:pPr>
                <a:r>
                  <a:rPr lang="en-US"/>
                  <a:t>Percent Error</a:t>
                </a:r>
              </a:p>
            </c:rich>
          </c:tx>
          <c:layout>
            <c:manualLayout>
              <c:xMode val="edge"/>
              <c:yMode val="edge"/>
              <c:x val="2.3610467809170952E-2"/>
              <c:y val="0.43391054288692082"/>
            </c:manualLayout>
          </c:layout>
          <c:overlay val="0"/>
          <c:spPr>
            <a:noFill/>
            <a:ln w="25400">
              <a:noFill/>
            </a:ln>
          </c:spPr>
        </c:title>
        <c:numFmt formatCode="0.0%"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SWISS"/>
                <a:ea typeface="SWISS"/>
                <a:cs typeface="SWISS"/>
              </a:defRPr>
            </a:pPr>
            <a:endParaRPr lang="en-US"/>
          </a:p>
        </c:txPr>
        <c:crossAx val="369083904"/>
        <c:crosses val="autoZero"/>
        <c:crossBetween val="midCat"/>
      </c:valAx>
      <c:spPr>
        <a:solidFill>
          <a:srgbClr val="FFFFFF"/>
        </a:solidFill>
        <a:ln w="12700">
          <a:solidFill>
            <a:srgbClr val="000000"/>
          </a:solidFill>
          <a:prstDash val="solid"/>
        </a:ln>
      </c:spPr>
    </c:plotArea>
    <c:legend>
      <c:legendPos val="r"/>
      <c:layout>
        <c:manualLayout>
          <c:xMode val="edge"/>
          <c:yMode val="edge"/>
          <c:x val="0.80718233750192958"/>
          <c:y val="0.473357015404262"/>
          <c:w val="0.18150532654006624"/>
          <c:h val="8.9273549745989667E-2"/>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920" b="0" i="0" u="none" strike="noStrike" baseline="0">
              <a:solidFill>
                <a:srgbClr val="000000"/>
              </a:solidFill>
              <a:latin typeface="SWISS"/>
              <a:ea typeface="SWISS"/>
              <a:cs typeface="SWISS"/>
            </a:defRPr>
          </a:pPr>
          <a:endParaRPr lang="en-US"/>
        </a:p>
      </c:txPr>
    </c:legend>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0" i="0" u="none" strike="noStrike" baseline="0">
                <a:solidFill>
                  <a:srgbClr val="000000"/>
                </a:solidFill>
                <a:latin typeface="SWISS"/>
                <a:ea typeface="SWISS"/>
                <a:cs typeface="SWISS"/>
              </a:defRPr>
            </a:pPr>
            <a:r>
              <a:rPr lang="en-US"/>
              <a:t>Forecast Model vs Actual</a:t>
            </a:r>
          </a:p>
        </c:rich>
      </c:tx>
      <c:layout>
        <c:manualLayout>
          <c:xMode val="edge"/>
          <c:yMode val="edge"/>
          <c:x val="0.27684869762847014"/>
          <c:y val="3.0885407365316492E-2"/>
        </c:manualLayout>
      </c:layout>
      <c:overlay val="0"/>
      <c:spPr>
        <a:solidFill>
          <a:srgbClr val="FFFFFF"/>
        </a:solidFill>
        <a:ln w="12700">
          <a:solidFill>
            <a:srgbClr val="000000"/>
          </a:solidFill>
          <a:prstDash val="solid"/>
        </a:ln>
        <a:effectLst>
          <a:outerShdw dist="35921" dir="2700000" algn="br">
            <a:srgbClr val="000000"/>
          </a:outerShdw>
        </a:effectLst>
      </c:spPr>
    </c:title>
    <c:autoTitleDeleted val="0"/>
    <c:plotArea>
      <c:layout>
        <c:manualLayout>
          <c:layoutTarget val="inner"/>
          <c:xMode val="edge"/>
          <c:yMode val="edge"/>
          <c:x val="0.11009185915982835"/>
          <c:y val="0.17295836500295594"/>
          <c:w val="0.84187892298692468"/>
          <c:h val="0.63006261536791053"/>
        </c:manualLayout>
      </c:layout>
      <c:scatterChart>
        <c:scatterStyle val="lineMarker"/>
        <c:varyColors val="0"/>
        <c:ser>
          <c:idx val="0"/>
          <c:order val="0"/>
          <c:tx>
            <c:v>Actual 2.3</c:v>
          </c:tx>
          <c:spPr>
            <a:ln w="3175">
              <a:solidFill>
                <a:srgbClr val="00FF00"/>
              </a:solidFill>
              <a:prstDash val="solid"/>
            </a:ln>
          </c:spPr>
          <c:marker>
            <c:symbol val="diamond"/>
            <c:size val="5"/>
            <c:spPr>
              <a:solidFill>
                <a:srgbClr val="00FF00"/>
              </a:solidFill>
              <a:ln>
                <a:solidFill>
                  <a:srgbClr val="000000"/>
                </a:solidFill>
                <a:prstDash val="solid"/>
              </a:ln>
            </c:spPr>
          </c:marker>
          <c:xVal>
            <c:numRef>
              <c:f>ln23xln22!$A$13:$A$59</c:f>
              <c:numCache>
                <c:formatCode>General</c:formatCode>
                <c:ptCount val="47"/>
                <c:pt idx="0">
                  <c:v>1962</c:v>
                </c:pt>
                <c:pt idx="1">
                  <c:v>1963</c:v>
                </c:pt>
                <c:pt idx="2">
                  <c:v>1964</c:v>
                </c:pt>
                <c:pt idx="3">
                  <c:v>1965</c:v>
                </c:pt>
                <c:pt idx="4">
                  <c:v>1966</c:v>
                </c:pt>
                <c:pt idx="5">
                  <c:v>1967</c:v>
                </c:pt>
                <c:pt idx="6">
                  <c:v>1968</c:v>
                </c:pt>
                <c:pt idx="7">
                  <c:v>1969</c:v>
                </c:pt>
                <c:pt idx="8">
                  <c:v>1970</c:v>
                </c:pt>
                <c:pt idx="9">
                  <c:v>1971</c:v>
                </c:pt>
                <c:pt idx="10">
                  <c:v>1972</c:v>
                </c:pt>
                <c:pt idx="11">
                  <c:v>1973</c:v>
                </c:pt>
                <c:pt idx="12">
                  <c:v>1974</c:v>
                </c:pt>
                <c:pt idx="13">
                  <c:v>1975</c:v>
                </c:pt>
                <c:pt idx="14">
                  <c:v>1976</c:v>
                </c:pt>
                <c:pt idx="15">
                  <c:v>1977</c:v>
                </c:pt>
                <c:pt idx="16">
                  <c:v>1978</c:v>
                </c:pt>
                <c:pt idx="17">
                  <c:v>1979</c:v>
                </c:pt>
                <c:pt idx="18">
                  <c:v>1980</c:v>
                </c:pt>
                <c:pt idx="19">
                  <c:v>1981</c:v>
                </c:pt>
                <c:pt idx="20">
                  <c:v>1982</c:v>
                </c:pt>
                <c:pt idx="21">
                  <c:v>1983</c:v>
                </c:pt>
                <c:pt idx="22">
                  <c:v>1984</c:v>
                </c:pt>
                <c:pt idx="23">
                  <c:v>1985</c:v>
                </c:pt>
                <c:pt idx="24">
                  <c:v>1986</c:v>
                </c:pt>
                <c:pt idx="25">
                  <c:v>1987</c:v>
                </c:pt>
                <c:pt idx="26">
                  <c:v>1988</c:v>
                </c:pt>
                <c:pt idx="27">
                  <c:v>1989</c:v>
                </c:pt>
                <c:pt idx="28">
                  <c:v>1990</c:v>
                </c:pt>
                <c:pt idx="29">
                  <c:v>1991</c:v>
                </c:pt>
                <c:pt idx="30">
                  <c:v>1992</c:v>
                </c:pt>
                <c:pt idx="31">
                  <c:v>1993</c:v>
                </c:pt>
                <c:pt idx="32">
                  <c:v>1994</c:v>
                </c:pt>
                <c:pt idx="33">
                  <c:v>1995</c:v>
                </c:pt>
                <c:pt idx="34">
                  <c:v>1996</c:v>
                </c:pt>
                <c:pt idx="35">
                  <c:v>1997</c:v>
                </c:pt>
                <c:pt idx="36">
                  <c:v>1998</c:v>
                </c:pt>
                <c:pt idx="37">
                  <c:v>1999</c:v>
                </c:pt>
                <c:pt idx="38">
                  <c:v>2000</c:v>
                </c:pt>
                <c:pt idx="39">
                  <c:v>2001</c:v>
                </c:pt>
                <c:pt idx="40">
                  <c:v>2002</c:v>
                </c:pt>
                <c:pt idx="41">
                  <c:v>2003</c:v>
                </c:pt>
                <c:pt idx="42">
                  <c:v>2004</c:v>
                </c:pt>
                <c:pt idx="43">
                  <c:v>2005</c:v>
                </c:pt>
                <c:pt idx="44">
                  <c:v>2006</c:v>
                </c:pt>
                <c:pt idx="45">
                  <c:v>2007</c:v>
                </c:pt>
                <c:pt idx="46">
                  <c:v>2008</c:v>
                </c:pt>
              </c:numCache>
            </c:numRef>
          </c:xVal>
          <c:yVal>
            <c:numRef>
              <c:f>ln23xln22!$AH$14:$AH$60</c:f>
              <c:numCache>
                <c:formatCode>General</c:formatCode>
                <c:ptCount val="47"/>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numCache>
            </c:numRef>
          </c:yVal>
          <c:smooth val="0"/>
        </c:ser>
        <c:dLbls>
          <c:showLegendKey val="0"/>
          <c:showVal val="0"/>
          <c:showCatName val="0"/>
          <c:showSerName val="0"/>
          <c:showPercent val="0"/>
          <c:showBubbleSize val="0"/>
        </c:dLbls>
        <c:axId val="369820032"/>
        <c:axId val="369823104"/>
      </c:scatterChart>
      <c:valAx>
        <c:axId val="369820032"/>
        <c:scaling>
          <c:orientation val="minMax"/>
        </c:scaling>
        <c:delete val="0"/>
        <c:axPos val="b"/>
        <c:title>
          <c:tx>
            <c:rich>
              <a:bodyPr/>
              <a:lstStyle/>
              <a:p>
                <a:pPr>
                  <a:defRPr sz="1000" b="0" i="0" u="none" strike="noStrike" baseline="0">
                    <a:solidFill>
                      <a:srgbClr val="000000"/>
                    </a:solidFill>
                    <a:latin typeface="SWISS"/>
                    <a:ea typeface="SWISS"/>
                    <a:cs typeface="SWISS"/>
                  </a:defRPr>
                </a:pPr>
                <a:r>
                  <a:rPr lang="en-US"/>
                  <a:t>Brood Year</a:t>
                </a:r>
              </a:p>
            </c:rich>
          </c:tx>
          <c:layout>
            <c:manualLayout>
              <c:xMode val="edge"/>
              <c:yMode val="edge"/>
              <c:x val="0.47598539681732038"/>
              <c:y val="0.86479183916444435"/>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SWISS"/>
                <a:ea typeface="SWISS"/>
                <a:cs typeface="SWISS"/>
              </a:defRPr>
            </a:pPr>
            <a:endParaRPr lang="en-US"/>
          </a:p>
        </c:txPr>
        <c:crossAx val="369823104"/>
        <c:crosses val="autoZero"/>
        <c:crossBetween val="midCat"/>
      </c:valAx>
      <c:valAx>
        <c:axId val="369823104"/>
        <c:scaling>
          <c:orientation val="minMax"/>
        </c:scaling>
        <c:delete val="0"/>
        <c:axPos val="l"/>
        <c:title>
          <c:tx>
            <c:rich>
              <a:bodyPr/>
              <a:lstStyle/>
              <a:p>
                <a:pPr>
                  <a:defRPr sz="1000" b="0" i="0" u="none" strike="noStrike" baseline="0">
                    <a:solidFill>
                      <a:srgbClr val="000000"/>
                    </a:solidFill>
                    <a:latin typeface="SWISS"/>
                    <a:ea typeface="SWISS"/>
                    <a:cs typeface="SWISS"/>
                  </a:defRPr>
                </a:pPr>
                <a:r>
                  <a:rPr lang="en-US"/>
                  <a:t>Age 2.3 Return</a:t>
                </a:r>
              </a:p>
            </c:rich>
          </c:tx>
          <c:layout>
            <c:manualLayout>
              <c:xMode val="edge"/>
              <c:yMode val="edge"/>
              <c:x val="2.5903942944127418E-2"/>
              <c:y val="0.3953333874502829"/>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SWISS"/>
                <a:ea typeface="SWISS"/>
                <a:cs typeface="SWISS"/>
              </a:defRPr>
            </a:pPr>
            <a:endParaRPr lang="en-US"/>
          </a:p>
        </c:txPr>
        <c:crossAx val="369820032"/>
        <c:crosses val="autoZero"/>
        <c:crossBetween val="midCat"/>
      </c:valAx>
      <c:spPr>
        <a:solidFill>
          <a:srgbClr val="FFFFFF"/>
        </a:solidFill>
        <a:ln w="12700">
          <a:solidFill>
            <a:srgbClr val="000000"/>
          </a:solidFill>
          <a:prstDash val="solid"/>
        </a:ln>
      </c:spPr>
    </c:plotArea>
    <c:legend>
      <c:legendPos val="b"/>
      <c:layout>
        <c:manualLayout>
          <c:xMode val="edge"/>
          <c:yMode val="edge"/>
          <c:x val="0.45008145387319315"/>
          <c:y val="0.93685786183943498"/>
          <c:w val="0.16189977060622468"/>
          <c:h val="4.9416781665178711E-2"/>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920" b="0" i="0" u="none" strike="noStrike" baseline="0">
              <a:solidFill>
                <a:srgbClr val="000000"/>
              </a:solidFill>
              <a:latin typeface="SWISS"/>
              <a:ea typeface="SWISS"/>
              <a:cs typeface="SWISS"/>
            </a:defRPr>
          </a:pPr>
          <a:endParaRPr lang="en-US"/>
        </a:p>
      </c:txPr>
    </c:legend>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LN AGED 2.3 FROM LN AGED 1.3</a:t>
            </a:r>
          </a:p>
        </c:rich>
      </c:tx>
      <c:layout>
        <c:manualLayout>
          <c:xMode val="edge"/>
          <c:yMode val="edge"/>
          <c:x val="0.34320194233591866"/>
          <c:y val="2.9393774376333798E-2"/>
        </c:manualLayout>
      </c:layout>
      <c:overlay val="0"/>
      <c:spPr>
        <a:solidFill>
          <a:srgbClr val="FFFFFF"/>
        </a:solidFill>
        <a:ln w="25400">
          <a:noFill/>
        </a:ln>
      </c:spPr>
    </c:title>
    <c:autoTitleDeleted val="0"/>
    <c:plotArea>
      <c:layout>
        <c:manualLayout>
          <c:layoutTarget val="inner"/>
          <c:xMode val="edge"/>
          <c:yMode val="edge"/>
          <c:x val="0.11289535423857376"/>
          <c:y val="0.12859798060983574"/>
          <c:w val="0.84445724970453151"/>
          <c:h val="0.6944290952931188"/>
        </c:manualLayout>
      </c:layout>
      <c:scatterChart>
        <c:scatterStyle val="lineMarker"/>
        <c:varyColors val="0"/>
        <c:ser>
          <c:idx val="0"/>
          <c:order val="0"/>
          <c:tx>
            <c:v>ACTUAL</c:v>
          </c:tx>
          <c:spPr>
            <a:ln w="28575">
              <a:noFill/>
            </a:ln>
          </c:spPr>
          <c:marker>
            <c:symbol val="diamond"/>
            <c:size val="5"/>
            <c:spPr>
              <a:solidFill>
                <a:srgbClr val="00FF00"/>
              </a:solidFill>
              <a:ln>
                <a:solidFill>
                  <a:srgbClr val="000000"/>
                </a:solidFill>
                <a:prstDash val="solid"/>
              </a:ln>
            </c:spPr>
          </c:marker>
          <c:dLbls>
            <c:dLbl>
              <c:idx val="0"/>
              <c:tx>
                <c:strRef>
                  <c:f>ln23xln13!$AC$13</c:f>
                  <c:strCache>
                    <c:ptCount val="1"/>
                    <c:pt idx="0">
                      <c:v>68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
              <c:tx>
                <c:strRef>
                  <c:f>ln23xln13!$AC$14</c:f>
                  <c:strCache>
                    <c:ptCount val="1"/>
                    <c:pt idx="0">
                      <c:v>69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
              <c:tx>
                <c:strRef>
                  <c:f>ln23xln13!$AC$15</c:f>
                  <c:strCache>
                    <c:ptCount val="1"/>
                    <c:pt idx="0">
                      <c:v>70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3"/>
              <c:tx>
                <c:strRef>
                  <c:f>ln23xln13!$AC$16</c:f>
                  <c:strCache>
                    <c:ptCount val="1"/>
                    <c:pt idx="0">
                      <c:v>71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4"/>
              <c:tx>
                <c:strRef>
                  <c:f>ln23xln13!$AC$17</c:f>
                  <c:strCache>
                    <c:ptCount val="1"/>
                    <c:pt idx="0">
                      <c:v>72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5"/>
              <c:tx>
                <c:strRef>
                  <c:f>ln23xln13!$AC$18</c:f>
                  <c:strCache>
                    <c:ptCount val="1"/>
                    <c:pt idx="0">
                      <c:v>73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6"/>
              <c:tx>
                <c:strRef>
                  <c:f>ln23xln13!$AC$19</c:f>
                  <c:strCache>
                    <c:ptCount val="1"/>
                    <c:pt idx="0">
                      <c:v>74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7"/>
              <c:tx>
                <c:strRef>
                  <c:f>ln23xln13!$AC$20</c:f>
                  <c:strCache>
                    <c:ptCount val="1"/>
                    <c:pt idx="0">
                      <c:v>75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8"/>
              <c:tx>
                <c:strRef>
                  <c:f>ln23xln13!$AC$21</c:f>
                  <c:strCache>
                    <c:ptCount val="1"/>
                    <c:pt idx="0">
                      <c:v>76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9"/>
              <c:tx>
                <c:strRef>
                  <c:f>ln23xln13!$AC$22</c:f>
                  <c:strCache>
                    <c:ptCount val="1"/>
                    <c:pt idx="0">
                      <c:v>77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0"/>
              <c:tx>
                <c:strRef>
                  <c:f>ln23xln13!$AC$23</c:f>
                  <c:strCache>
                    <c:ptCount val="1"/>
                    <c:pt idx="0">
                      <c:v>78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1"/>
              <c:tx>
                <c:strRef>
                  <c:f>ln23xln13!$AC$24</c:f>
                  <c:strCache>
                    <c:ptCount val="1"/>
                    <c:pt idx="0">
                      <c:v>79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2"/>
              <c:tx>
                <c:strRef>
                  <c:f>ln23xln13!$AC$25</c:f>
                  <c:strCache>
                    <c:ptCount val="1"/>
                    <c:pt idx="0">
                      <c:v>80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3"/>
              <c:tx>
                <c:strRef>
                  <c:f>ln23xln13!$AC$26</c:f>
                  <c:strCache>
                    <c:ptCount val="1"/>
                    <c:pt idx="0">
                      <c:v>81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4"/>
              <c:tx>
                <c:strRef>
                  <c:f>ln23xln13!$AC$27</c:f>
                  <c:strCache>
                    <c:ptCount val="1"/>
                    <c:pt idx="0">
                      <c:v>82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5"/>
              <c:tx>
                <c:strRef>
                  <c:f>ln23xln13!$AC$28</c:f>
                  <c:strCache>
                    <c:ptCount val="1"/>
                    <c:pt idx="0">
                      <c:v>83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6"/>
              <c:tx>
                <c:strRef>
                  <c:f>ln23xln13!$AC$29</c:f>
                  <c:strCache>
                    <c:ptCount val="1"/>
                    <c:pt idx="0">
                      <c:v>84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7"/>
              <c:tx>
                <c:strRef>
                  <c:f>ln23xln13!$AC$30</c:f>
                  <c:strCache>
                    <c:ptCount val="1"/>
                    <c:pt idx="0">
                      <c:v>85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8"/>
              <c:tx>
                <c:strRef>
                  <c:f>ln23xln13!$AC$31</c:f>
                  <c:strCache>
                    <c:ptCount val="1"/>
                    <c:pt idx="0">
                      <c:v>86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19"/>
              <c:tx>
                <c:strRef>
                  <c:f>ln23xln13!$AC$32</c:f>
                  <c:strCache>
                    <c:ptCount val="1"/>
                    <c:pt idx="0">
                      <c:v>87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0"/>
              <c:tx>
                <c:strRef>
                  <c:f>ln23xln13!$AC$33</c:f>
                  <c:strCache>
                    <c:ptCount val="1"/>
                    <c:pt idx="0">
                      <c:v>88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1"/>
              <c:tx>
                <c:strRef>
                  <c:f>ln23xln13!$AC$34</c:f>
                  <c:strCache>
                    <c:ptCount val="1"/>
                    <c:pt idx="0">
                      <c:v>89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2"/>
              <c:tx>
                <c:strRef>
                  <c:f>ln23xln13!$AC$35</c:f>
                  <c:strCache>
                    <c:ptCount val="1"/>
                    <c:pt idx="0">
                      <c:v>90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3"/>
              <c:tx>
                <c:strRef>
                  <c:f>ln23xln13!$AC$36</c:f>
                  <c:strCache>
                    <c:ptCount val="1"/>
                    <c:pt idx="0">
                      <c:v>91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4"/>
              <c:tx>
                <c:strRef>
                  <c:f>ln23xln13!$AC$37</c:f>
                  <c:strCache>
                    <c:ptCount val="1"/>
                    <c:pt idx="0">
                      <c:v>92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5"/>
              <c:tx>
                <c:strRef>
                  <c:f>ln23xln13!$AC$38</c:f>
                  <c:strCache>
                    <c:ptCount val="1"/>
                    <c:pt idx="0">
                      <c:v>93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6"/>
              <c:tx>
                <c:strRef>
                  <c:f>ln23xln13!$AC$39</c:f>
                  <c:strCache>
                    <c:ptCount val="1"/>
                    <c:pt idx="0">
                      <c:v>94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7"/>
              <c:tx>
                <c:strRef>
                  <c:f>ln23xln13!$AC$40</c:f>
                  <c:strCache>
                    <c:ptCount val="1"/>
                    <c:pt idx="0">
                      <c:v>95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8"/>
              <c:tx>
                <c:strRef>
                  <c:f>ln23xln13!$AC$41</c:f>
                  <c:strCache>
                    <c:ptCount val="1"/>
                    <c:pt idx="0">
                      <c:v>96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29"/>
              <c:tx>
                <c:strRef>
                  <c:f>ln23xln13!$AC$42</c:f>
                  <c:strCache>
                    <c:ptCount val="1"/>
                    <c:pt idx="0">
                      <c:v>97 </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dLbl>
              <c:idx val="30"/>
              <c:tx>
                <c:strRef>
                  <c:f>ln23xln13!$AC$46</c:f>
                  <c:strCache>
                    <c:ptCount val="1"/>
                    <c:pt idx="0">
                      <c:v>01</c:v>
                    </c:pt>
                  </c:strCache>
                </c:strRef>
              </c:tx>
              <c:spPr>
                <a:noFill/>
                <a:ln w="25400">
                  <a:noFill/>
                </a:ln>
              </c:spPr>
              <c:txPr>
                <a:bodyPr/>
                <a:lstStyle/>
                <a:p>
                  <a:pPr algn="ctr" rtl="1">
                    <a:defRPr sz="1200" b="0" i="0" u="none" strike="noStrike" baseline="0">
                      <a:solidFill>
                        <a:srgbClr val="000000"/>
                      </a:solidFill>
                      <a:latin typeface="SWISS"/>
                      <a:ea typeface="SWISS"/>
                      <a:cs typeface="SWISS"/>
                    </a:defRPr>
                  </a:pPr>
                  <a:endParaRPr lang="en-US"/>
                </a:p>
              </c:txPr>
              <c:showLegendKey val="0"/>
              <c:showVal val="0"/>
              <c:showCatName val="0"/>
              <c:showSerName val="0"/>
              <c:showPercent val="0"/>
              <c:showBubbleSize val="0"/>
            </c:dLbl>
            <c:showLegendKey val="0"/>
            <c:showVal val="0"/>
            <c:showCatName val="0"/>
            <c:showSerName val="0"/>
            <c:showPercent val="0"/>
            <c:showBubbleSize val="0"/>
          </c:dLbls>
          <c:trendline>
            <c:spPr>
              <a:ln w="25400">
                <a:solidFill>
                  <a:srgbClr val="000000"/>
                </a:solidFill>
                <a:prstDash val="solid"/>
              </a:ln>
            </c:spPr>
            <c:trendlineType val="linear"/>
            <c:dispRSqr val="1"/>
            <c:dispEq val="1"/>
            <c:trendlineLbl>
              <c:layout>
                <c:manualLayout>
                  <c:x val="4.8436474351342997E-2"/>
                  <c:y val="0.34330215661271285"/>
                </c:manualLayout>
              </c:layout>
              <c:numFmt formatCode="General" sourceLinked="0"/>
              <c:spPr>
                <a:noFill/>
                <a:ln w="25400">
                  <a:noFill/>
                </a:ln>
              </c:spPr>
              <c:txPr>
                <a:bodyPr/>
                <a:lstStyle/>
                <a:p>
                  <a:pPr>
                    <a:defRPr sz="1200" b="0" i="0" u="none" strike="noStrike" baseline="0">
                      <a:solidFill>
                        <a:srgbClr val="000000"/>
                      </a:solidFill>
                      <a:latin typeface="Times New Roman"/>
                      <a:ea typeface="Times New Roman"/>
                      <a:cs typeface="Times New Roman"/>
                    </a:defRPr>
                  </a:pPr>
                  <a:endParaRPr lang="en-US"/>
                </a:p>
              </c:txPr>
            </c:trendlineLbl>
          </c:trendline>
          <c:xVal>
            <c:numRef>
              <c:f>ln23xln13!$Z$13:$Z$61</c:f>
              <c:numCache>
                <c:formatCode>General</c:formatCode>
                <c:ptCount val="49"/>
                <c:pt idx="0">
                  <c:v>13.237120983130074</c:v>
                </c:pt>
                <c:pt idx="1">
                  <c:v>13.106071709770401</c:v>
                </c:pt>
                <c:pt idx="2">
                  <c:v>13.636544025217798</c:v>
                </c:pt>
                <c:pt idx="3">
                  <c:v>13.934935302361204</c:v>
                </c:pt>
                <c:pt idx="4">
                  <c:v>13.695125080202772</c:v>
                </c:pt>
                <c:pt idx="5">
                  <c:v>13.469993411243443</c:v>
                </c:pt>
                <c:pt idx="6">
                  <c:v>13.292926891590582</c:v>
                </c:pt>
                <c:pt idx="7">
                  <c:v>13.366855574069275</c:v>
                </c:pt>
                <c:pt idx="8">
                  <c:v>12.755967055394713</c:v>
                </c:pt>
                <c:pt idx="9">
                  <c:v>13.754613147674856</c:v>
                </c:pt>
                <c:pt idx="10">
                  <c:v>13.648497293799361</c:v>
                </c:pt>
                <c:pt idx="11">
                  <c:v>12.602715502852924</c:v>
                </c:pt>
                <c:pt idx="12">
                  <c:v>13.000725318656022</c:v>
                </c:pt>
                <c:pt idx="13">
                  <c:v>12.925948486164664</c:v>
                </c:pt>
                <c:pt idx="14">
                  <c:v>13.706895781055929</c:v>
                </c:pt>
                <c:pt idx="15">
                  <c:v>14.11696530569891</c:v>
                </c:pt>
                <c:pt idx="16">
                  <c:v>13.613528697493491</c:v>
                </c:pt>
                <c:pt idx="17">
                  <c:v>14.169276530236562</c:v>
                </c:pt>
                <c:pt idx="18">
                  <c:v>13.858768146655043</c:v>
                </c:pt>
                <c:pt idx="19">
                  <c:v>13.500399551096667</c:v>
                </c:pt>
                <c:pt idx="20">
                  <c:v>14.123812821422923</c:v>
                </c:pt>
                <c:pt idx="21">
                  <c:v>13.193528357920927</c:v>
                </c:pt>
                <c:pt idx="22">
                  <c:v>13.828371573710584</c:v>
                </c:pt>
                <c:pt idx="23">
                  <c:v>13.37144981129318</c:v>
                </c:pt>
                <c:pt idx="24">
                  <c:v>14.072007751012482</c:v>
                </c:pt>
                <c:pt idx="25">
                  <c:v>13.888105737944398</c:v>
                </c:pt>
                <c:pt idx="26" formatCode="0.0000_)">
                  <c:v>14.100673827299241</c:v>
                </c:pt>
                <c:pt idx="27" formatCode="0.0000_)">
                  <c:v>14.102620144485565</c:v>
                </c:pt>
                <c:pt idx="28" formatCode="0.0000_)">
                  <c:v>13.874070782802761</c:v>
                </c:pt>
                <c:pt idx="29" formatCode="0.0000_)">
                  <c:v>14.50323529563542</c:v>
                </c:pt>
                <c:pt idx="30" formatCode="0.0000_)">
                  <c:v>14.697313220380199</c:v>
                </c:pt>
                <c:pt idx="31" formatCode="0.0000_)">
                  <c:v>13.922491248798858</c:v>
                </c:pt>
                <c:pt idx="32" formatCode="0.0000_)">
                  <c:v>14.011595524522779</c:v>
                </c:pt>
                <c:pt idx="33" formatCode="0.0000_)">
                  <c:v>13.74269233377956</c:v>
                </c:pt>
                <c:pt idx="34" formatCode="0.0000_)">
                  <c:v>14.32895948682159</c:v>
                </c:pt>
                <c:pt idx="35" formatCode="0.0000_)">
                  <c:v>14.039363355788447</c:v>
                </c:pt>
                <c:pt idx="36" formatCode="0.0000_)">
                  <c:v>14.137569843559483</c:v>
                </c:pt>
                <c:pt idx="37" formatCode="0.0000_)">
                  <c:v>13.811698053073718</c:v>
                </c:pt>
                <c:pt idx="38" formatCode="0.0000_)">
                  <c:v>14.176239858706381</c:v>
                </c:pt>
                <c:pt idx="39" formatCode="0.0000_)">
                  <c:v>14.202399903364208</c:v>
                </c:pt>
                <c:pt idx="40" formatCode="0.0000_)">
                  <c:v>14.640443886698622</c:v>
                </c:pt>
                <c:pt idx="41" formatCode="0.0000_)">
                  <c:v>13.587551950740307</c:v>
                </c:pt>
                <c:pt idx="42" formatCode="0.0000_)">
                  <c:v>13.754121868260308</c:v>
                </c:pt>
                <c:pt idx="43" formatCode="0.0000_)">
                  <c:v>13.501477075906118</c:v>
                </c:pt>
                <c:pt idx="44" formatCode="0.0000_)">
                  <c:v>14.421147248530623</c:v>
                </c:pt>
                <c:pt idx="45" formatCode="0.0000_)">
                  <c:v>14.547533233630642</c:v>
                </c:pt>
                <c:pt idx="46" formatCode="0.0000_)">
                  <c:v>14.206228091770475</c:v>
                </c:pt>
                <c:pt idx="48" formatCode="0.0000_)">
                  <c:v>14.444629537743996</c:v>
                </c:pt>
              </c:numCache>
            </c:numRef>
          </c:xVal>
          <c:yVal>
            <c:numRef>
              <c:f>ln23xln13!$AB$13:$AB$61</c:f>
              <c:numCache>
                <c:formatCode>General</c:formatCode>
                <c:ptCount val="49"/>
                <c:pt idx="0">
                  <c:v>10.236123333560183</c:v>
                </c:pt>
                <c:pt idx="1">
                  <c:v>9.1614112184967418</c:v>
                </c:pt>
                <c:pt idx="2">
                  <c:v>10.120788143584148</c:v>
                </c:pt>
                <c:pt idx="3">
                  <c:v>12.398763016885381</c:v>
                </c:pt>
                <c:pt idx="4">
                  <c:v>12.543705480093045</c:v>
                </c:pt>
                <c:pt idx="5">
                  <c:v>10.848894926054982</c:v>
                </c:pt>
                <c:pt idx="6">
                  <c:v>11.111108922927762</c:v>
                </c:pt>
                <c:pt idx="7">
                  <c:v>11.582377948203689</c:v>
                </c:pt>
                <c:pt idx="8">
                  <c:v>10.232866188291677</c:v>
                </c:pt>
                <c:pt idx="9">
                  <c:v>11.343314071920092</c:v>
                </c:pt>
                <c:pt idx="10">
                  <c:v>10.424623999335015</c:v>
                </c:pt>
                <c:pt idx="11">
                  <c:v>11.333201803339398</c:v>
                </c:pt>
                <c:pt idx="12">
                  <c:v>10.311052429506699</c:v>
                </c:pt>
                <c:pt idx="13">
                  <c:v>11.107014176116621</c:v>
                </c:pt>
                <c:pt idx="14">
                  <c:v>11.250051004390706</c:v>
                </c:pt>
                <c:pt idx="15">
                  <c:v>11.874501853485977</c:v>
                </c:pt>
                <c:pt idx="16">
                  <c:v>11.832392100060035</c:v>
                </c:pt>
                <c:pt idx="17">
                  <c:v>12.03909876504431</c:v>
                </c:pt>
                <c:pt idx="18">
                  <c:v>11.946366878055242</c:v>
                </c:pt>
                <c:pt idx="19">
                  <c:v>11.473324069819592</c:v>
                </c:pt>
                <c:pt idx="20">
                  <c:v>11.194600157856149</c:v>
                </c:pt>
                <c:pt idx="21">
                  <c:v>11.925526431997534</c:v>
                </c:pt>
                <c:pt idx="22">
                  <c:v>12.310883218316269</c:v>
                </c:pt>
                <c:pt idx="23">
                  <c:v>11.13243535189706</c:v>
                </c:pt>
                <c:pt idx="24">
                  <c:v>11.536437818183675</c:v>
                </c:pt>
                <c:pt idx="25">
                  <c:v>12.031153527709229</c:v>
                </c:pt>
                <c:pt idx="26">
                  <c:v>10.935939568976963</c:v>
                </c:pt>
                <c:pt idx="27">
                  <c:v>11.637273415799703</c:v>
                </c:pt>
                <c:pt idx="28">
                  <c:v>11.822220700393405</c:v>
                </c:pt>
                <c:pt idx="29">
                  <c:v>12.511092697732716</c:v>
                </c:pt>
                <c:pt idx="30">
                  <c:v>11.253294061849042</c:v>
                </c:pt>
                <c:pt idx="31">
                  <c:v>11.146441355660475</c:v>
                </c:pt>
                <c:pt idx="32">
                  <c:v>11.401999710839833</c:v>
                </c:pt>
                <c:pt idx="33">
                  <c:v>11.000829021215486</c:v>
                </c:pt>
                <c:pt idx="34">
                  <c:v>11.14150094542507</c:v>
                </c:pt>
                <c:pt idx="35">
                  <c:v>10.654471468435247</c:v>
                </c:pt>
                <c:pt idx="36">
                  <c:v>11.220704201581443</c:v>
                </c:pt>
                <c:pt idx="37">
                  <c:v>12.063667836941788</c:v>
                </c:pt>
                <c:pt idx="38">
                  <c:v>12.204299814724289</c:v>
                </c:pt>
                <c:pt idx="39">
                  <c:v>12.576248535357729</c:v>
                </c:pt>
                <c:pt idx="40">
                  <c:v>11.639129281017061</c:v>
                </c:pt>
                <c:pt idx="41">
                  <c:v>12.304166427631953</c:v>
                </c:pt>
                <c:pt idx="42">
                  <c:v>11.366689966564724</c:v>
                </c:pt>
                <c:pt idx="43">
                  <c:v>11.759463248879864</c:v>
                </c:pt>
                <c:pt idx="44">
                  <c:v>11.569237899901379</c:v>
                </c:pt>
                <c:pt idx="45">
                  <c:v>12.591428938588949</c:v>
                </c:pt>
                <c:pt idx="46">
                  <c:v>12.095403347211487</c:v>
                </c:pt>
              </c:numCache>
            </c:numRef>
          </c:yVal>
          <c:smooth val="0"/>
        </c:ser>
        <c:ser>
          <c:idx val="1"/>
          <c:order val="1"/>
          <c:spPr>
            <a:ln w="12700">
              <a:solidFill>
                <a:srgbClr val="0000FF"/>
              </a:solidFill>
              <a:prstDash val="solid"/>
            </a:ln>
          </c:spPr>
          <c:marker>
            <c:symbol val="none"/>
          </c:marker>
          <c:xVal>
            <c:numRef>
              <c:f>ln23xln13!$Z$13:$Z$61</c:f>
              <c:numCache>
                <c:formatCode>General</c:formatCode>
                <c:ptCount val="49"/>
                <c:pt idx="0">
                  <c:v>13.237120983130074</c:v>
                </c:pt>
                <c:pt idx="1">
                  <c:v>13.106071709770401</c:v>
                </c:pt>
                <c:pt idx="2">
                  <c:v>13.636544025217798</c:v>
                </c:pt>
                <c:pt idx="3">
                  <c:v>13.934935302361204</c:v>
                </c:pt>
                <c:pt idx="4">
                  <c:v>13.695125080202772</c:v>
                </c:pt>
                <c:pt idx="5">
                  <c:v>13.469993411243443</c:v>
                </c:pt>
                <c:pt idx="6">
                  <c:v>13.292926891590582</c:v>
                </c:pt>
                <c:pt idx="7">
                  <c:v>13.366855574069275</c:v>
                </c:pt>
                <c:pt idx="8">
                  <c:v>12.755967055394713</c:v>
                </c:pt>
                <c:pt idx="9">
                  <c:v>13.754613147674856</c:v>
                </c:pt>
                <c:pt idx="10">
                  <c:v>13.648497293799361</c:v>
                </c:pt>
                <c:pt idx="11">
                  <c:v>12.602715502852924</c:v>
                </c:pt>
                <c:pt idx="12">
                  <c:v>13.000725318656022</c:v>
                </c:pt>
                <c:pt idx="13">
                  <c:v>12.925948486164664</c:v>
                </c:pt>
                <c:pt idx="14">
                  <c:v>13.706895781055929</c:v>
                </c:pt>
                <c:pt idx="15">
                  <c:v>14.11696530569891</c:v>
                </c:pt>
                <c:pt idx="16">
                  <c:v>13.613528697493491</c:v>
                </c:pt>
                <c:pt idx="17">
                  <c:v>14.169276530236562</c:v>
                </c:pt>
                <c:pt idx="18">
                  <c:v>13.858768146655043</c:v>
                </c:pt>
                <c:pt idx="19">
                  <c:v>13.500399551096667</c:v>
                </c:pt>
                <c:pt idx="20">
                  <c:v>14.123812821422923</c:v>
                </c:pt>
                <c:pt idx="21">
                  <c:v>13.193528357920927</c:v>
                </c:pt>
                <c:pt idx="22">
                  <c:v>13.828371573710584</c:v>
                </c:pt>
                <c:pt idx="23">
                  <c:v>13.37144981129318</c:v>
                </c:pt>
                <c:pt idx="24">
                  <c:v>14.072007751012482</c:v>
                </c:pt>
                <c:pt idx="25">
                  <c:v>13.888105737944398</c:v>
                </c:pt>
                <c:pt idx="26" formatCode="0.0000_)">
                  <c:v>14.100673827299241</c:v>
                </c:pt>
                <c:pt idx="27" formatCode="0.0000_)">
                  <c:v>14.102620144485565</c:v>
                </c:pt>
                <c:pt idx="28" formatCode="0.0000_)">
                  <c:v>13.874070782802761</c:v>
                </c:pt>
                <c:pt idx="29" formatCode="0.0000_)">
                  <c:v>14.50323529563542</c:v>
                </c:pt>
                <c:pt idx="30" formatCode="0.0000_)">
                  <c:v>14.697313220380199</c:v>
                </c:pt>
                <c:pt idx="31" formatCode="0.0000_)">
                  <c:v>13.922491248798858</c:v>
                </c:pt>
                <c:pt idx="32" formatCode="0.0000_)">
                  <c:v>14.011595524522779</c:v>
                </c:pt>
                <c:pt idx="33" formatCode="0.0000_)">
                  <c:v>13.74269233377956</c:v>
                </c:pt>
                <c:pt idx="34" formatCode="0.0000_)">
                  <c:v>14.32895948682159</c:v>
                </c:pt>
                <c:pt idx="35" formatCode="0.0000_)">
                  <c:v>14.039363355788447</c:v>
                </c:pt>
                <c:pt idx="36" formatCode="0.0000_)">
                  <c:v>14.137569843559483</c:v>
                </c:pt>
                <c:pt idx="37" formatCode="0.0000_)">
                  <c:v>13.811698053073718</c:v>
                </c:pt>
                <c:pt idx="38" formatCode="0.0000_)">
                  <c:v>14.176239858706381</c:v>
                </c:pt>
                <c:pt idx="39" formatCode="0.0000_)">
                  <c:v>14.202399903364208</c:v>
                </c:pt>
                <c:pt idx="40" formatCode="0.0000_)">
                  <c:v>14.640443886698622</c:v>
                </c:pt>
                <c:pt idx="41" formatCode="0.0000_)">
                  <c:v>13.587551950740307</c:v>
                </c:pt>
                <c:pt idx="42" formatCode="0.0000_)">
                  <c:v>13.754121868260308</c:v>
                </c:pt>
                <c:pt idx="43" formatCode="0.0000_)">
                  <c:v>13.501477075906118</c:v>
                </c:pt>
                <c:pt idx="44" formatCode="0.0000_)">
                  <c:v>14.421147248530623</c:v>
                </c:pt>
                <c:pt idx="45" formatCode="0.0000_)">
                  <c:v>14.547533233630642</c:v>
                </c:pt>
                <c:pt idx="46" formatCode="0.0000_)">
                  <c:v>14.206228091770475</c:v>
                </c:pt>
                <c:pt idx="48" formatCode="0.0000_)">
                  <c:v>14.444629537743996</c:v>
                </c:pt>
              </c:numCache>
            </c:numRef>
          </c:xVal>
          <c:yVal>
            <c:numRef>
              <c:f>ln23xln13!$AD$13:$AD$61</c:f>
              <c:numCache>
                <c:formatCode>General</c:formatCode>
                <c:ptCount val="49"/>
                <c:pt idx="0">
                  <c:v>10.127230906523344</c:v>
                </c:pt>
                <c:pt idx="1">
                  <c:v>10.030940276366058</c:v>
                </c:pt>
                <c:pt idx="2">
                  <c:v>10.420713620589291</c:v>
                </c:pt>
                <c:pt idx="3">
                  <c:v>10.639961567357515</c:v>
                </c:pt>
                <c:pt idx="4">
                  <c:v>10.463757023693864</c:v>
                </c:pt>
                <c:pt idx="5">
                  <c:v>10.298337790784741</c:v>
                </c:pt>
                <c:pt idx="6">
                  <c:v>10.168235224627528</c:v>
                </c:pt>
                <c:pt idx="7">
                  <c:v>10.22255555193704</c:v>
                </c:pt>
                <c:pt idx="8">
                  <c:v>9.7736950667851588</c:v>
                </c:pt>
                <c:pt idx="9">
                  <c:v>10.507466869287628</c:v>
                </c:pt>
                <c:pt idx="10">
                  <c:v>10.429496483207682</c:v>
                </c:pt>
                <c:pt idx="11">
                  <c:v>9.6610909432481229</c:v>
                </c:pt>
                <c:pt idx="12">
                  <c:v>9.9535352658296095</c:v>
                </c:pt>
                <c:pt idx="13">
                  <c:v>9.8985917462116344</c:v>
                </c:pt>
                <c:pt idx="14">
                  <c:v>10.472405741641598</c:v>
                </c:pt>
                <c:pt idx="15">
                  <c:v>10.77371113558911</c:v>
                </c:pt>
                <c:pt idx="16">
                  <c:v>10.4038027262895</c:v>
                </c:pt>
                <c:pt idx="17">
                  <c:v>10.812147676638865</c:v>
                </c:pt>
                <c:pt idx="18">
                  <c:v>10.58399648466602</c:v>
                </c:pt>
                <c:pt idx="19">
                  <c:v>10.320679207047933</c:v>
                </c:pt>
                <c:pt idx="20">
                  <c:v>10.778742461495568</c:v>
                </c:pt>
                <c:pt idx="21">
                  <c:v>10.095200501134688</c:v>
                </c:pt>
                <c:pt idx="22">
                  <c:v>10.561662097847934</c:v>
                </c:pt>
                <c:pt idx="23">
                  <c:v>10.225931244041549</c:v>
                </c:pt>
                <c:pt idx="24">
                  <c:v>10.740677825597336</c:v>
                </c:pt>
                <c:pt idx="25">
                  <c:v>10.605552767124724</c:v>
                </c:pt>
                <c:pt idx="26">
                  <c:v>10.761740701254899</c:v>
                </c:pt>
                <c:pt idx="27">
                  <c:v>10.763170790133323</c:v>
                </c:pt>
                <c:pt idx="28">
                  <c:v>10.595240350732238</c:v>
                </c:pt>
                <c:pt idx="29">
                  <c:v>11.057529426132037</c:v>
                </c:pt>
                <c:pt idx="30">
                  <c:v>11.200131404717625</c:v>
                </c:pt>
                <c:pt idx="31">
                  <c:v>10.630818092323199</c:v>
                </c:pt>
                <c:pt idx="32">
                  <c:v>10.696288938816311</c:v>
                </c:pt>
                <c:pt idx="33">
                  <c:v>10.498707853289</c:v>
                </c:pt>
                <c:pt idx="34">
                  <c:v>10.929477381113843</c:v>
                </c:pt>
                <c:pt idx="35">
                  <c:v>10.716691814025959</c:v>
                </c:pt>
                <c:pt idx="36">
                  <c:v>10.78885066199647</c:v>
                </c:pt>
                <c:pt idx="37">
                  <c:v>10.549410951634725</c:v>
                </c:pt>
                <c:pt idx="38">
                  <c:v>10.817264097883804</c:v>
                </c:pt>
                <c:pt idx="39">
                  <c:v>10.836485625180115</c:v>
                </c:pt>
                <c:pt idx="40">
                  <c:v>11.158345717270164</c:v>
                </c:pt>
                <c:pt idx="41">
                  <c:v>10.38471588017296</c:v>
                </c:pt>
                <c:pt idx="42">
                  <c:v>10.507105893578283</c:v>
                </c:pt>
                <c:pt idx="43">
                  <c:v>10.321470936297949</c:v>
                </c:pt>
                <c:pt idx="44">
                  <c:v>10.997213870147165</c:v>
                </c:pt>
                <c:pt idx="45">
                  <c:v>11.090078071804578</c:v>
                </c:pt>
                <c:pt idx="46">
                  <c:v>10.839298450192802</c:v>
                </c:pt>
                <c:pt idx="48">
                  <c:v>11.014855006359909</c:v>
                </c:pt>
              </c:numCache>
            </c:numRef>
          </c:yVal>
          <c:smooth val="0"/>
        </c:ser>
        <c:ser>
          <c:idx val="2"/>
          <c:order val="2"/>
          <c:spPr>
            <a:ln w="12700">
              <a:solidFill>
                <a:srgbClr val="FFFF00"/>
              </a:solidFill>
              <a:prstDash val="solid"/>
            </a:ln>
          </c:spPr>
          <c:marker>
            <c:symbol val="none"/>
          </c:marker>
          <c:xVal>
            <c:numRef>
              <c:f>ln23xln13!$Z$13:$Z$61</c:f>
              <c:numCache>
                <c:formatCode>General</c:formatCode>
                <c:ptCount val="49"/>
                <c:pt idx="0">
                  <c:v>13.237120983130074</c:v>
                </c:pt>
                <c:pt idx="1">
                  <c:v>13.106071709770401</c:v>
                </c:pt>
                <c:pt idx="2">
                  <c:v>13.636544025217798</c:v>
                </c:pt>
                <c:pt idx="3">
                  <c:v>13.934935302361204</c:v>
                </c:pt>
                <c:pt idx="4">
                  <c:v>13.695125080202772</c:v>
                </c:pt>
                <c:pt idx="5">
                  <c:v>13.469993411243443</c:v>
                </c:pt>
                <c:pt idx="6">
                  <c:v>13.292926891590582</c:v>
                </c:pt>
                <c:pt idx="7">
                  <c:v>13.366855574069275</c:v>
                </c:pt>
                <c:pt idx="8">
                  <c:v>12.755967055394713</c:v>
                </c:pt>
                <c:pt idx="9">
                  <c:v>13.754613147674856</c:v>
                </c:pt>
                <c:pt idx="10">
                  <c:v>13.648497293799361</c:v>
                </c:pt>
                <c:pt idx="11">
                  <c:v>12.602715502852924</c:v>
                </c:pt>
                <c:pt idx="12">
                  <c:v>13.000725318656022</c:v>
                </c:pt>
                <c:pt idx="13">
                  <c:v>12.925948486164664</c:v>
                </c:pt>
                <c:pt idx="14">
                  <c:v>13.706895781055929</c:v>
                </c:pt>
                <c:pt idx="15">
                  <c:v>14.11696530569891</c:v>
                </c:pt>
                <c:pt idx="16">
                  <c:v>13.613528697493491</c:v>
                </c:pt>
                <c:pt idx="17">
                  <c:v>14.169276530236562</c:v>
                </c:pt>
                <c:pt idx="18">
                  <c:v>13.858768146655043</c:v>
                </c:pt>
                <c:pt idx="19">
                  <c:v>13.500399551096667</c:v>
                </c:pt>
                <c:pt idx="20">
                  <c:v>14.123812821422923</c:v>
                </c:pt>
                <c:pt idx="21">
                  <c:v>13.193528357920927</c:v>
                </c:pt>
                <c:pt idx="22">
                  <c:v>13.828371573710584</c:v>
                </c:pt>
                <c:pt idx="23">
                  <c:v>13.37144981129318</c:v>
                </c:pt>
                <c:pt idx="24">
                  <c:v>14.072007751012482</c:v>
                </c:pt>
                <c:pt idx="25">
                  <c:v>13.888105737944398</c:v>
                </c:pt>
                <c:pt idx="26" formatCode="0.0000_)">
                  <c:v>14.100673827299241</c:v>
                </c:pt>
                <c:pt idx="27" formatCode="0.0000_)">
                  <c:v>14.102620144485565</c:v>
                </c:pt>
                <c:pt idx="28" formatCode="0.0000_)">
                  <c:v>13.874070782802761</c:v>
                </c:pt>
                <c:pt idx="29" formatCode="0.0000_)">
                  <c:v>14.50323529563542</c:v>
                </c:pt>
                <c:pt idx="30" formatCode="0.0000_)">
                  <c:v>14.697313220380199</c:v>
                </c:pt>
                <c:pt idx="31" formatCode="0.0000_)">
                  <c:v>13.922491248798858</c:v>
                </c:pt>
                <c:pt idx="32" formatCode="0.0000_)">
                  <c:v>14.011595524522779</c:v>
                </c:pt>
                <c:pt idx="33" formatCode="0.0000_)">
                  <c:v>13.74269233377956</c:v>
                </c:pt>
                <c:pt idx="34" formatCode="0.0000_)">
                  <c:v>14.32895948682159</c:v>
                </c:pt>
                <c:pt idx="35" formatCode="0.0000_)">
                  <c:v>14.039363355788447</c:v>
                </c:pt>
                <c:pt idx="36" formatCode="0.0000_)">
                  <c:v>14.137569843559483</c:v>
                </c:pt>
                <c:pt idx="37" formatCode="0.0000_)">
                  <c:v>13.811698053073718</c:v>
                </c:pt>
                <c:pt idx="38" formatCode="0.0000_)">
                  <c:v>14.176239858706381</c:v>
                </c:pt>
                <c:pt idx="39" formatCode="0.0000_)">
                  <c:v>14.202399903364208</c:v>
                </c:pt>
                <c:pt idx="40" formatCode="0.0000_)">
                  <c:v>14.640443886698622</c:v>
                </c:pt>
                <c:pt idx="41" formatCode="0.0000_)">
                  <c:v>13.587551950740307</c:v>
                </c:pt>
                <c:pt idx="42" formatCode="0.0000_)">
                  <c:v>13.754121868260308</c:v>
                </c:pt>
                <c:pt idx="43" formatCode="0.0000_)">
                  <c:v>13.501477075906118</c:v>
                </c:pt>
                <c:pt idx="44" formatCode="0.0000_)">
                  <c:v>14.421147248530623</c:v>
                </c:pt>
                <c:pt idx="45" formatCode="0.0000_)">
                  <c:v>14.547533233630642</c:v>
                </c:pt>
                <c:pt idx="46" formatCode="0.0000_)">
                  <c:v>14.206228091770475</c:v>
                </c:pt>
                <c:pt idx="48" formatCode="0.0000_)">
                  <c:v>14.444629537743996</c:v>
                </c:pt>
              </c:numCache>
            </c:numRef>
          </c:xVal>
          <c:yVal>
            <c:numRef>
              <c:f>ln23xln13!$AE$13:$AE$61</c:f>
              <c:numCache>
                <c:formatCode>General</c:formatCode>
                <c:ptCount val="49"/>
                <c:pt idx="0">
                  <c:v>11.875044629819573</c:v>
                </c:pt>
                <c:pt idx="1">
                  <c:v>11.778753999662287</c:v>
                </c:pt>
                <c:pt idx="2">
                  <c:v>12.16852734388552</c:v>
                </c:pt>
                <c:pt idx="3">
                  <c:v>12.387775290653744</c:v>
                </c:pt>
                <c:pt idx="4">
                  <c:v>12.211570746990093</c:v>
                </c:pt>
                <c:pt idx="5">
                  <c:v>12.04615151408097</c:v>
                </c:pt>
                <c:pt idx="6">
                  <c:v>11.916048947923757</c:v>
                </c:pt>
                <c:pt idx="7">
                  <c:v>11.970369275233269</c:v>
                </c:pt>
                <c:pt idx="8">
                  <c:v>11.521508790081388</c:v>
                </c:pt>
                <c:pt idx="9">
                  <c:v>12.255280592583857</c:v>
                </c:pt>
                <c:pt idx="10">
                  <c:v>12.177310206503911</c:v>
                </c:pt>
                <c:pt idx="11">
                  <c:v>11.408904666544352</c:v>
                </c:pt>
                <c:pt idx="12">
                  <c:v>11.701348989125838</c:v>
                </c:pt>
                <c:pt idx="13">
                  <c:v>11.646405469507863</c:v>
                </c:pt>
                <c:pt idx="14">
                  <c:v>12.220219464937827</c:v>
                </c:pt>
                <c:pt idx="15">
                  <c:v>12.521524858885339</c:v>
                </c:pt>
                <c:pt idx="16">
                  <c:v>12.151616449585729</c:v>
                </c:pt>
                <c:pt idx="17">
                  <c:v>12.559961399935094</c:v>
                </c:pt>
                <c:pt idx="18">
                  <c:v>12.331810207962249</c:v>
                </c:pt>
                <c:pt idx="19">
                  <c:v>12.068492930344162</c:v>
                </c:pt>
                <c:pt idx="20">
                  <c:v>12.526556184791797</c:v>
                </c:pt>
                <c:pt idx="21">
                  <c:v>11.843014224430917</c:v>
                </c:pt>
                <c:pt idx="22">
                  <c:v>12.309475821144163</c:v>
                </c:pt>
                <c:pt idx="23">
                  <c:v>11.973744967337778</c:v>
                </c:pt>
                <c:pt idx="24">
                  <c:v>12.488491548893565</c:v>
                </c:pt>
                <c:pt idx="25">
                  <c:v>12.353366490420953</c:v>
                </c:pt>
                <c:pt idx="26">
                  <c:v>12.509554424551128</c:v>
                </c:pt>
                <c:pt idx="27">
                  <c:v>12.510984513429552</c:v>
                </c:pt>
                <c:pt idx="28">
                  <c:v>12.343054074028467</c:v>
                </c:pt>
                <c:pt idx="29">
                  <c:v>12.805343149428266</c:v>
                </c:pt>
                <c:pt idx="30">
                  <c:v>12.947945128013854</c:v>
                </c:pt>
                <c:pt idx="31">
                  <c:v>12.378631815619428</c:v>
                </c:pt>
                <c:pt idx="32">
                  <c:v>12.44410266211254</c:v>
                </c:pt>
                <c:pt idx="33">
                  <c:v>12.246521576585229</c:v>
                </c:pt>
                <c:pt idx="34">
                  <c:v>12.677291104410072</c:v>
                </c:pt>
                <c:pt idx="35">
                  <c:v>12.464505537322188</c:v>
                </c:pt>
                <c:pt idx="36">
                  <c:v>12.536664385292699</c:v>
                </c:pt>
                <c:pt idx="37">
                  <c:v>12.297224674930954</c:v>
                </c:pt>
                <c:pt idx="38">
                  <c:v>12.565077821180033</c:v>
                </c:pt>
                <c:pt idx="39">
                  <c:v>12.584299348476344</c:v>
                </c:pt>
                <c:pt idx="40">
                  <c:v>12.906159440566393</c:v>
                </c:pt>
                <c:pt idx="41">
                  <c:v>12.132529603469189</c:v>
                </c:pt>
                <c:pt idx="42">
                  <c:v>12.254919616874512</c:v>
                </c:pt>
                <c:pt idx="43">
                  <c:v>12.069284659594178</c:v>
                </c:pt>
                <c:pt idx="44">
                  <c:v>12.745027593443394</c:v>
                </c:pt>
                <c:pt idx="45">
                  <c:v>12.837891795100807</c:v>
                </c:pt>
                <c:pt idx="46">
                  <c:v>12.587112173489031</c:v>
                </c:pt>
                <c:pt idx="48">
                  <c:v>12.761894461249653</c:v>
                </c:pt>
              </c:numCache>
            </c:numRef>
          </c:yVal>
          <c:smooth val="0"/>
        </c:ser>
        <c:ser>
          <c:idx val="3"/>
          <c:order val="3"/>
          <c:tx>
            <c:v>Forecast</c:v>
          </c:tx>
          <c:spPr>
            <a:ln w="12700">
              <a:solidFill>
                <a:srgbClr val="FF00FF"/>
              </a:solidFill>
              <a:prstDash val="solid"/>
            </a:ln>
          </c:spPr>
          <c:marker>
            <c:symbol val="square"/>
            <c:size val="10"/>
            <c:spPr>
              <a:solidFill>
                <a:srgbClr val="FF00FF"/>
              </a:solidFill>
              <a:ln>
                <a:solidFill>
                  <a:srgbClr val="000000"/>
                </a:solidFill>
                <a:prstDash val="solid"/>
              </a:ln>
            </c:spPr>
          </c:marker>
          <c:xVal>
            <c:numRef>
              <c:f>ln23xln13!$Z$13:$Z$61</c:f>
              <c:numCache>
                <c:formatCode>General</c:formatCode>
                <c:ptCount val="49"/>
                <c:pt idx="0">
                  <c:v>13.237120983130074</c:v>
                </c:pt>
                <c:pt idx="1">
                  <c:v>13.106071709770401</c:v>
                </c:pt>
                <c:pt idx="2">
                  <c:v>13.636544025217798</c:v>
                </c:pt>
                <c:pt idx="3">
                  <c:v>13.934935302361204</c:v>
                </c:pt>
                <c:pt idx="4">
                  <c:v>13.695125080202772</c:v>
                </c:pt>
                <c:pt idx="5">
                  <c:v>13.469993411243443</c:v>
                </c:pt>
                <c:pt idx="6">
                  <c:v>13.292926891590582</c:v>
                </c:pt>
                <c:pt idx="7">
                  <c:v>13.366855574069275</c:v>
                </c:pt>
                <c:pt idx="8">
                  <c:v>12.755967055394713</c:v>
                </c:pt>
                <c:pt idx="9">
                  <c:v>13.754613147674856</c:v>
                </c:pt>
                <c:pt idx="10">
                  <c:v>13.648497293799361</c:v>
                </c:pt>
                <c:pt idx="11">
                  <c:v>12.602715502852924</c:v>
                </c:pt>
                <c:pt idx="12">
                  <c:v>13.000725318656022</c:v>
                </c:pt>
                <c:pt idx="13">
                  <c:v>12.925948486164664</c:v>
                </c:pt>
                <c:pt idx="14">
                  <c:v>13.706895781055929</c:v>
                </c:pt>
                <c:pt idx="15">
                  <c:v>14.11696530569891</c:v>
                </c:pt>
                <c:pt idx="16">
                  <c:v>13.613528697493491</c:v>
                </c:pt>
                <c:pt idx="17">
                  <c:v>14.169276530236562</c:v>
                </c:pt>
                <c:pt idx="18">
                  <c:v>13.858768146655043</c:v>
                </c:pt>
                <c:pt idx="19">
                  <c:v>13.500399551096667</c:v>
                </c:pt>
                <c:pt idx="20">
                  <c:v>14.123812821422923</c:v>
                </c:pt>
                <c:pt idx="21">
                  <c:v>13.193528357920927</c:v>
                </c:pt>
                <c:pt idx="22">
                  <c:v>13.828371573710584</c:v>
                </c:pt>
                <c:pt idx="23">
                  <c:v>13.37144981129318</c:v>
                </c:pt>
                <c:pt idx="24">
                  <c:v>14.072007751012482</c:v>
                </c:pt>
                <c:pt idx="25">
                  <c:v>13.888105737944398</c:v>
                </c:pt>
                <c:pt idx="26" formatCode="0.0000_)">
                  <c:v>14.100673827299241</c:v>
                </c:pt>
                <c:pt idx="27" formatCode="0.0000_)">
                  <c:v>14.102620144485565</c:v>
                </c:pt>
                <c:pt idx="28" formatCode="0.0000_)">
                  <c:v>13.874070782802761</c:v>
                </c:pt>
                <c:pt idx="29" formatCode="0.0000_)">
                  <c:v>14.50323529563542</c:v>
                </c:pt>
                <c:pt idx="30" formatCode="0.0000_)">
                  <c:v>14.697313220380199</c:v>
                </c:pt>
                <c:pt idx="31" formatCode="0.0000_)">
                  <c:v>13.922491248798858</c:v>
                </c:pt>
                <c:pt idx="32" formatCode="0.0000_)">
                  <c:v>14.011595524522779</c:v>
                </c:pt>
                <c:pt idx="33" formatCode="0.0000_)">
                  <c:v>13.74269233377956</c:v>
                </c:pt>
                <c:pt idx="34" formatCode="0.0000_)">
                  <c:v>14.32895948682159</c:v>
                </c:pt>
                <c:pt idx="35" formatCode="0.0000_)">
                  <c:v>14.039363355788447</c:v>
                </c:pt>
                <c:pt idx="36" formatCode="0.0000_)">
                  <c:v>14.137569843559483</c:v>
                </c:pt>
                <c:pt idx="37" formatCode="0.0000_)">
                  <c:v>13.811698053073718</c:v>
                </c:pt>
                <c:pt idx="38" formatCode="0.0000_)">
                  <c:v>14.176239858706381</c:v>
                </c:pt>
                <c:pt idx="39" formatCode="0.0000_)">
                  <c:v>14.202399903364208</c:v>
                </c:pt>
                <c:pt idx="40" formatCode="0.0000_)">
                  <c:v>14.640443886698622</c:v>
                </c:pt>
                <c:pt idx="41" formatCode="0.0000_)">
                  <c:v>13.587551950740307</c:v>
                </c:pt>
                <c:pt idx="42" formatCode="0.0000_)">
                  <c:v>13.754121868260308</c:v>
                </c:pt>
                <c:pt idx="43" formatCode="0.0000_)">
                  <c:v>13.501477075906118</c:v>
                </c:pt>
                <c:pt idx="44" formatCode="0.0000_)">
                  <c:v>14.421147248530623</c:v>
                </c:pt>
                <c:pt idx="45" formatCode="0.0000_)">
                  <c:v>14.547533233630642</c:v>
                </c:pt>
                <c:pt idx="46" formatCode="0.0000_)">
                  <c:v>14.206228091770475</c:v>
                </c:pt>
                <c:pt idx="48" formatCode="0.0000_)">
                  <c:v>14.444629537743996</c:v>
                </c:pt>
              </c:numCache>
            </c:numRef>
          </c:xVal>
          <c:yVal>
            <c:numRef>
              <c:f>ln23xln13!$AF$13:$AF$61</c:f>
              <c:numCache>
                <c:formatCode>General</c:formatCode>
                <c:ptCount val="49"/>
                <c:pt idx="48">
                  <c:v>11.888374733804781</c:v>
                </c:pt>
              </c:numCache>
            </c:numRef>
          </c:yVal>
          <c:smooth val="0"/>
        </c:ser>
        <c:dLbls>
          <c:showLegendKey val="0"/>
          <c:showVal val="0"/>
          <c:showCatName val="0"/>
          <c:showSerName val="0"/>
          <c:showPercent val="0"/>
          <c:showBubbleSize val="0"/>
        </c:dLbls>
        <c:axId val="369418624"/>
        <c:axId val="369420928"/>
      </c:scatterChart>
      <c:valAx>
        <c:axId val="369418624"/>
        <c:scaling>
          <c:orientation val="minMax"/>
          <c:min val="12.5"/>
        </c:scaling>
        <c:delete val="0"/>
        <c:axPos val="b"/>
        <c:title>
          <c:tx>
            <c:rich>
              <a:bodyPr/>
              <a:lstStyle/>
              <a:p>
                <a:pPr>
                  <a:defRPr sz="1000" b="0" i="0" u="none" strike="noStrike" baseline="0">
                    <a:solidFill>
                      <a:srgbClr val="000000"/>
                    </a:solidFill>
                    <a:latin typeface="Arial"/>
                    <a:ea typeface="Arial"/>
                    <a:cs typeface="Arial"/>
                  </a:defRPr>
                </a:pPr>
                <a:r>
                  <a:rPr lang="en-US"/>
                  <a:t>LN AGED 1.3</a:t>
                </a:r>
              </a:p>
            </c:rich>
          </c:tx>
          <c:layout>
            <c:manualLayout>
              <c:xMode val="edge"/>
              <c:yMode val="edge"/>
              <c:x val="0.47265516847875277"/>
              <c:y val="0.87814045674197838"/>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369420928"/>
        <c:crosses val="autoZero"/>
        <c:crossBetween val="midCat"/>
      </c:valAx>
      <c:valAx>
        <c:axId val="369420928"/>
        <c:scaling>
          <c:orientation val="minMax"/>
          <c:max val="13"/>
          <c:min val="9"/>
        </c:scaling>
        <c:delete val="0"/>
        <c:axPos val="l"/>
        <c:title>
          <c:tx>
            <c:rich>
              <a:bodyPr/>
              <a:lstStyle/>
              <a:p>
                <a:pPr>
                  <a:defRPr sz="1000" b="0" i="0" u="none" strike="noStrike" baseline="0">
                    <a:solidFill>
                      <a:srgbClr val="000000"/>
                    </a:solidFill>
                    <a:latin typeface="Arial"/>
                    <a:ea typeface="Arial"/>
                    <a:cs typeface="Arial"/>
                  </a:defRPr>
                </a:pPr>
                <a:r>
                  <a:rPr lang="en-US"/>
                  <a:t>LN AGED 2.3</a:t>
                </a:r>
              </a:p>
            </c:rich>
          </c:tx>
          <c:layout>
            <c:manualLayout>
              <c:xMode val="edge"/>
              <c:yMode val="edge"/>
              <c:x val="2.4084335784863877E-2"/>
              <c:y val="0.40049078911865393"/>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369418624"/>
        <c:crosses val="autoZero"/>
        <c:crossBetween val="midCat"/>
      </c:valAx>
      <c:spPr>
        <a:solidFill>
          <a:srgbClr val="FFFFFF"/>
        </a:solidFill>
        <a:ln w="25400">
          <a:noFill/>
        </a:ln>
      </c:spPr>
    </c:plotArea>
    <c:legend>
      <c:legendPos val="b"/>
      <c:layout>
        <c:manualLayout>
          <c:xMode val="edge"/>
          <c:yMode val="edge"/>
          <c:x val="0.17611682347802476"/>
          <c:y val="0.94243952216253368"/>
          <c:w val="0.71650914700130319"/>
          <c:h val="4.4090759683075409E-2"/>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84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9525">
      <a:noFill/>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alignWithMargins="0"/>
    <c:pageMargins b="1" l="0.75000000000000455" r="0.75000000000000455" t="1" header="0.5" footer="0.5"/>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 Id="rId4"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34.xml"/><Relationship Id="rId2" Type="http://schemas.openxmlformats.org/officeDocument/2006/relationships/chart" Target="../charts/chart33.xml"/><Relationship Id="rId1" Type="http://schemas.openxmlformats.org/officeDocument/2006/relationships/chart" Target="../charts/chart32.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3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4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44.xml"/><Relationship Id="rId2" Type="http://schemas.openxmlformats.org/officeDocument/2006/relationships/chart" Target="../charts/chart43.xml"/><Relationship Id="rId1" Type="http://schemas.openxmlformats.org/officeDocument/2006/relationships/chart" Target="../charts/chart4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45.xml"/></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xdr:from>
      <xdr:col>3</xdr:col>
      <xdr:colOff>520700</xdr:colOff>
      <xdr:row>32</xdr:row>
      <xdr:rowOff>190500</xdr:rowOff>
    </xdr:from>
    <xdr:to>
      <xdr:col>11</xdr:col>
      <xdr:colOff>12700</xdr:colOff>
      <xdr:row>38</xdr:row>
      <xdr:rowOff>50800</xdr:rowOff>
    </xdr:to>
    <xdr:sp macro="" textlink="">
      <xdr:nvSpPr>
        <xdr:cNvPr id="2" name="TextBox 1"/>
        <xdr:cNvSpPr txBox="1"/>
      </xdr:nvSpPr>
      <xdr:spPr>
        <a:xfrm>
          <a:off x="3035300" y="7366000"/>
          <a:ext cx="6096000" cy="1308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t>This needs to be updated again</a:t>
          </a:r>
          <a:r>
            <a:rPr lang="en-US" sz="1100"/>
            <a:t>.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34</xdr:col>
      <xdr:colOff>320675</xdr:colOff>
      <xdr:row>87</xdr:row>
      <xdr:rowOff>165100</xdr:rowOff>
    </xdr:from>
    <xdr:to>
      <xdr:col>48</xdr:col>
      <xdr:colOff>758825</xdr:colOff>
      <xdr:row>111</xdr:row>
      <xdr:rowOff>0</xdr:rowOff>
    </xdr:to>
    <xdr:graphicFrame macro="">
      <xdr:nvGraphicFramePr>
        <xdr:cNvPr id="3184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35</xdr:col>
      <xdr:colOff>584200</xdr:colOff>
      <xdr:row>116</xdr:row>
      <xdr:rowOff>114300</xdr:rowOff>
    </xdr:from>
    <xdr:to>
      <xdr:col>45</xdr:col>
      <xdr:colOff>457200</xdr:colOff>
      <xdr:row>145</xdr:row>
      <xdr:rowOff>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59</xdr:col>
      <xdr:colOff>25400</xdr:colOff>
      <xdr:row>99</xdr:row>
      <xdr:rowOff>44448</xdr:rowOff>
    </xdr:from>
    <xdr:to>
      <xdr:col>73</xdr:col>
      <xdr:colOff>139700</xdr:colOff>
      <xdr:row>132</xdr:row>
      <xdr:rowOff>63500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669925</xdr:colOff>
      <xdr:row>14</xdr:row>
      <xdr:rowOff>120650</xdr:rowOff>
    </xdr:from>
    <xdr:to>
      <xdr:col>15</xdr:col>
      <xdr:colOff>384175</xdr:colOff>
      <xdr:row>20</xdr:row>
      <xdr:rowOff>3175</xdr:rowOff>
    </xdr:to>
    <xdr:sp macro="" textlink="">
      <xdr:nvSpPr>
        <xdr:cNvPr id="33793" name="Text Box 1"/>
        <xdr:cNvSpPr txBox="1">
          <a:spLocks noChangeArrowheads="1"/>
        </xdr:cNvSpPr>
      </xdr:nvSpPr>
      <xdr:spPr bwMode="auto">
        <a:xfrm>
          <a:off x="10071100" y="2787650"/>
          <a:ext cx="4286250" cy="1082675"/>
        </a:xfrm>
        <a:prstGeom prst="rect">
          <a:avLst/>
        </a:prstGeom>
        <a:solidFill>
          <a:srgbClr val="FFFFFF"/>
        </a:solidFill>
        <a:ln w="9525">
          <a:solidFill>
            <a:srgbClr val="000000"/>
          </a:solidFill>
          <a:miter lim="800000"/>
          <a:headEnd/>
          <a:tailEnd/>
        </a:ln>
      </xdr:spPr>
      <xdr:txBody>
        <a:bodyPr vertOverflow="clip" wrap="square" lIns="36576" tIns="22860" rIns="0" bIns="0" anchor="t" upright="1"/>
        <a:lstStyle/>
        <a:p>
          <a:pPr algn="l" rtl="0">
            <a:defRPr sz="1000"/>
          </a:pPr>
          <a:r>
            <a:rPr lang="en-US" sz="1200" b="0" i="0" u="none" strike="noStrike" baseline="0">
              <a:solidFill>
                <a:srgbClr val="000000"/>
              </a:solidFill>
              <a:latin typeface="SWISS"/>
            </a:rPr>
            <a:t>Steve Moffitt:</a:t>
          </a:r>
        </a:p>
        <a:p>
          <a:pPr algn="l" rtl="0">
            <a:defRPr sz="1000"/>
          </a:pPr>
          <a:endParaRPr lang="en-US" sz="1200" b="0" i="0" u="none" strike="noStrike" baseline="0">
            <a:solidFill>
              <a:srgbClr val="000000"/>
            </a:solidFill>
            <a:latin typeface="SWISS"/>
          </a:endParaRPr>
        </a:p>
        <a:p>
          <a:pPr algn="l" rtl="0">
            <a:defRPr sz="1000"/>
          </a:pPr>
          <a:r>
            <a:rPr lang="en-US" sz="1600" b="0" i="0" u="none" strike="noStrike" baseline="0">
              <a:solidFill>
                <a:srgbClr val="000000"/>
              </a:solidFill>
              <a:latin typeface="SWISS"/>
            </a:rPr>
            <a:t>If the models used change in Worksheet "Fcst Sumry", the links need to be updated.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85725</xdr:colOff>
      <xdr:row>63</xdr:row>
      <xdr:rowOff>133350</xdr:rowOff>
    </xdr:from>
    <xdr:to>
      <xdr:col>24</xdr:col>
      <xdr:colOff>838200</xdr:colOff>
      <xdr:row>134</xdr:row>
      <xdr:rowOff>95250</xdr:rowOff>
    </xdr:to>
    <xdr:grpSp>
      <xdr:nvGrpSpPr>
        <xdr:cNvPr id="1227" name="Group 185"/>
        <xdr:cNvGrpSpPr>
          <a:grpSpLocks/>
        </xdr:cNvGrpSpPr>
      </xdr:nvGrpSpPr>
      <xdr:grpSpPr bwMode="auto">
        <a:xfrm>
          <a:off x="8467725" y="12287250"/>
          <a:ext cx="18354675" cy="13512800"/>
          <a:chOff x="841" y="1764"/>
          <a:chExt cx="1267" cy="1419"/>
        </a:xfrm>
      </xdr:grpSpPr>
      <xdr:graphicFrame macro="">
        <xdr:nvGraphicFramePr>
          <xdr:cNvPr id="1228" name="Chart 148"/>
          <xdr:cNvGraphicFramePr>
            <a:graphicFrameLocks/>
          </xdr:cNvGraphicFramePr>
        </xdr:nvGraphicFramePr>
        <xdr:xfrm>
          <a:off x="841" y="1764"/>
          <a:ext cx="1266" cy="71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229" name="Chart 169"/>
          <xdr:cNvGraphicFramePr>
            <a:graphicFrameLocks/>
          </xdr:cNvGraphicFramePr>
        </xdr:nvGraphicFramePr>
        <xdr:xfrm>
          <a:off x="841" y="2472"/>
          <a:ext cx="1267" cy="711"/>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wsDr>
</file>

<file path=xl/drawings/drawing5.xml><?xml version="1.0" encoding="utf-8"?>
<c:userShapes xmlns:c="http://schemas.openxmlformats.org/drawingml/2006/chart">
  <cdr:relSizeAnchor xmlns:cdr="http://schemas.openxmlformats.org/drawingml/2006/chartDrawing">
    <cdr:from>
      <cdr:x>0.38591</cdr:x>
      <cdr:y>0.19697</cdr:y>
    </cdr:from>
    <cdr:to>
      <cdr:x>0.5697</cdr:x>
      <cdr:y>0.26152</cdr:y>
    </cdr:to>
    <cdr:sp macro="" textlink="">
      <cdr:nvSpPr>
        <cdr:cNvPr id="20481" name="Text Box 1"/>
        <cdr:cNvSpPr txBox="1">
          <a:spLocks xmlns:a="http://schemas.openxmlformats.org/drawingml/2006/main" noChangeArrowheads="1"/>
        </cdr:cNvSpPr>
      </cdr:nvSpPr>
      <cdr:spPr bwMode="auto">
        <a:xfrm xmlns:a="http://schemas.openxmlformats.org/drawingml/2006/main">
          <a:off x="4660376" y="1341468"/>
          <a:ext cx="2217984" cy="43859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45720" tIns="36576" rIns="0" bIns="0" anchor="t" upright="1"/>
        <a:lstStyle xmlns:a="http://schemas.openxmlformats.org/drawingml/2006/main"/>
        <a:p xmlns:a="http://schemas.openxmlformats.org/drawingml/2006/main">
          <a:pPr algn="l" rtl="0">
            <a:defRPr sz="1000"/>
          </a:pPr>
          <a:r>
            <a:rPr lang="en-US" sz="2075" b="1" i="0" u="none" strike="noStrike" baseline="0">
              <a:solidFill>
                <a:srgbClr val="000000"/>
              </a:solidFill>
              <a:latin typeface="Times New Roman"/>
              <a:cs typeface="Times New Roman"/>
            </a:rPr>
            <a:t>Forecast too high</a:t>
          </a:r>
        </a:p>
      </cdr:txBody>
    </cdr:sp>
  </cdr:relSizeAnchor>
  <cdr:relSizeAnchor xmlns:cdr="http://schemas.openxmlformats.org/drawingml/2006/chartDrawing">
    <cdr:from>
      <cdr:x>0.22767</cdr:x>
      <cdr:y>0.67593</cdr:y>
    </cdr:from>
    <cdr:to>
      <cdr:x>0.41145</cdr:x>
      <cdr:y>0.74048</cdr:y>
    </cdr:to>
    <cdr:sp macro="" textlink="">
      <cdr:nvSpPr>
        <cdr:cNvPr id="20483" name="Text Box 3"/>
        <cdr:cNvSpPr txBox="1">
          <a:spLocks xmlns:a="http://schemas.openxmlformats.org/drawingml/2006/main" noChangeArrowheads="1"/>
        </cdr:cNvSpPr>
      </cdr:nvSpPr>
      <cdr:spPr bwMode="auto">
        <a:xfrm xmlns:a="http://schemas.openxmlformats.org/drawingml/2006/main">
          <a:off x="2750695" y="4595761"/>
          <a:ext cx="2217984" cy="43859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45720" tIns="36576" rIns="0" bIns="0" anchor="t" upright="1"/>
        <a:lstStyle xmlns:a="http://schemas.openxmlformats.org/drawingml/2006/main"/>
        <a:p xmlns:a="http://schemas.openxmlformats.org/drawingml/2006/main">
          <a:pPr algn="l" rtl="0">
            <a:defRPr sz="1000"/>
          </a:pPr>
          <a:r>
            <a:rPr lang="en-US" sz="2075" b="1" i="0" u="none" strike="noStrike" baseline="0">
              <a:solidFill>
                <a:srgbClr val="000000"/>
              </a:solidFill>
              <a:latin typeface="Times New Roman"/>
              <a:cs typeface="Times New Roman"/>
            </a:rPr>
            <a:t>Forecast too low</a:t>
          </a:r>
        </a:p>
      </cdr:txBody>
    </cdr:sp>
  </cdr:relSizeAnchor>
  <cdr:relSizeAnchor xmlns:cdr="http://schemas.openxmlformats.org/drawingml/2006/chartDrawing">
    <cdr:from>
      <cdr:x>0.70229</cdr:x>
      <cdr:y>0.2258</cdr:y>
    </cdr:from>
    <cdr:to>
      <cdr:x>0.78889</cdr:x>
      <cdr:y>0.30046</cdr:y>
    </cdr:to>
    <cdr:sp macro="" textlink="">
      <cdr:nvSpPr>
        <cdr:cNvPr id="20484" name="Text Box 4"/>
        <cdr:cNvSpPr txBox="1">
          <a:spLocks xmlns:a="http://schemas.openxmlformats.org/drawingml/2006/main" noChangeArrowheads="1"/>
        </cdr:cNvSpPr>
      </cdr:nvSpPr>
      <cdr:spPr bwMode="auto">
        <a:xfrm xmlns:a="http://schemas.openxmlformats.org/drawingml/2006/main">
          <a:off x="12880132" y="1526670"/>
          <a:ext cx="1588344" cy="50478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7432" rIns="27432" bIns="0" anchor="t" upright="1"/>
        <a:lstStyle xmlns:a="http://schemas.openxmlformats.org/drawingml/2006/main"/>
        <a:p xmlns:a="http://schemas.openxmlformats.org/drawingml/2006/main">
          <a:pPr algn="ctr" rtl="0">
            <a:defRPr sz="1000"/>
          </a:pPr>
          <a:r>
            <a:rPr lang="en-US" sz="1200" b="1" i="0" u="none" strike="noStrike" baseline="0">
              <a:solidFill>
                <a:srgbClr val="000000"/>
              </a:solidFill>
              <a:latin typeface="Times New Roman"/>
              <a:cs typeface="Times New Roman"/>
            </a:rPr>
            <a:t>MAPE = 29% </a:t>
          </a:r>
        </a:p>
        <a:p xmlns:a="http://schemas.openxmlformats.org/drawingml/2006/main">
          <a:pPr algn="ctr" rtl="0">
            <a:defRPr sz="1000"/>
          </a:pPr>
          <a:r>
            <a:rPr lang="en-US" sz="1200" b="1" i="0" u="none" strike="noStrike" baseline="0">
              <a:solidFill>
                <a:srgbClr val="000000"/>
              </a:solidFill>
              <a:latin typeface="Times New Roman"/>
              <a:cs typeface="Times New Roman"/>
            </a:rPr>
            <a:t>2010–2014</a:t>
          </a:r>
        </a:p>
      </cdr:txBody>
    </cdr:sp>
  </cdr:relSizeAnchor>
</c:userShapes>
</file>

<file path=xl/drawings/drawing6.xml><?xml version="1.0" encoding="utf-8"?>
<c:userShapes xmlns:c="http://schemas.openxmlformats.org/drawingml/2006/chart">
  <cdr:relSizeAnchor xmlns:cdr="http://schemas.openxmlformats.org/drawingml/2006/chartDrawing">
    <cdr:from>
      <cdr:x>0.43614</cdr:x>
      <cdr:y>0.23171</cdr:y>
    </cdr:from>
    <cdr:to>
      <cdr:x>0.61988</cdr:x>
      <cdr:y>0.29626</cdr:y>
    </cdr:to>
    <cdr:sp macro="" textlink="">
      <cdr:nvSpPr>
        <cdr:cNvPr id="30721" name="Text Box 1"/>
        <cdr:cNvSpPr txBox="1">
          <a:spLocks xmlns:a="http://schemas.openxmlformats.org/drawingml/2006/main" noChangeArrowheads="1"/>
        </cdr:cNvSpPr>
      </cdr:nvSpPr>
      <cdr:spPr bwMode="auto">
        <a:xfrm xmlns:a="http://schemas.openxmlformats.org/drawingml/2006/main">
          <a:off x="5272153" y="1577505"/>
          <a:ext cx="2219748" cy="43859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45720" tIns="36576" rIns="0" bIns="0" anchor="t" upright="1"/>
        <a:lstStyle xmlns:a="http://schemas.openxmlformats.org/drawingml/2006/main"/>
        <a:p xmlns:a="http://schemas.openxmlformats.org/drawingml/2006/main">
          <a:pPr algn="l" rtl="0">
            <a:defRPr sz="1000"/>
          </a:pPr>
          <a:r>
            <a:rPr lang="en-US" sz="2075" b="1" i="0" u="none" strike="noStrike" baseline="0">
              <a:solidFill>
                <a:srgbClr val="000000"/>
              </a:solidFill>
              <a:latin typeface="Times New Roman"/>
              <a:cs typeface="Times New Roman"/>
            </a:rPr>
            <a:t>Forecast too high</a:t>
          </a:r>
        </a:p>
      </cdr:txBody>
    </cdr:sp>
  </cdr:relSizeAnchor>
  <cdr:relSizeAnchor xmlns:cdr="http://schemas.openxmlformats.org/drawingml/2006/chartDrawing">
    <cdr:from>
      <cdr:x>0.17382</cdr:x>
      <cdr:y>0.77324</cdr:y>
    </cdr:from>
    <cdr:to>
      <cdr:x>0.35756</cdr:x>
      <cdr:y>0.8378</cdr:y>
    </cdr:to>
    <cdr:sp macro="" textlink="">
      <cdr:nvSpPr>
        <cdr:cNvPr id="30722" name="Text Box 2"/>
        <cdr:cNvSpPr txBox="1">
          <a:spLocks xmlns:a="http://schemas.openxmlformats.org/drawingml/2006/main" noChangeArrowheads="1"/>
        </cdr:cNvSpPr>
      </cdr:nvSpPr>
      <cdr:spPr bwMode="auto">
        <a:xfrm xmlns:a="http://schemas.openxmlformats.org/drawingml/2006/main">
          <a:off x="2095486" y="5243997"/>
          <a:ext cx="2215073" cy="43783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45720" tIns="36576" rIns="0" bIns="0" anchor="t" upright="1"/>
        <a:lstStyle xmlns:a="http://schemas.openxmlformats.org/drawingml/2006/main"/>
        <a:p xmlns:a="http://schemas.openxmlformats.org/drawingml/2006/main">
          <a:pPr algn="l" rtl="0">
            <a:defRPr sz="1000"/>
          </a:pPr>
          <a:r>
            <a:rPr lang="en-US" sz="2075" b="1" i="0" u="none" strike="noStrike" baseline="0">
              <a:solidFill>
                <a:srgbClr val="000000"/>
              </a:solidFill>
              <a:latin typeface="Times New Roman"/>
              <a:cs typeface="Times New Roman"/>
            </a:rPr>
            <a:t>Forecast too low</a:t>
          </a:r>
        </a:p>
      </cdr:txBody>
    </cdr:sp>
  </cdr:relSizeAnchor>
  <cdr:relSizeAnchor xmlns:cdr="http://schemas.openxmlformats.org/drawingml/2006/chartDrawing">
    <cdr:from>
      <cdr:x>0.70072</cdr:x>
      <cdr:y>0.28566</cdr:y>
    </cdr:from>
    <cdr:to>
      <cdr:x>0.81387</cdr:x>
      <cdr:y>0.36081</cdr:y>
    </cdr:to>
    <cdr:sp macro="" textlink="">
      <cdr:nvSpPr>
        <cdr:cNvPr id="30723" name="Text Box 3"/>
        <cdr:cNvSpPr txBox="1">
          <a:spLocks xmlns:a="http://schemas.openxmlformats.org/drawingml/2006/main" noChangeArrowheads="1"/>
        </cdr:cNvSpPr>
      </cdr:nvSpPr>
      <cdr:spPr bwMode="auto">
        <a:xfrm xmlns:a="http://schemas.openxmlformats.org/drawingml/2006/main">
          <a:off x="12861488" y="1934114"/>
          <a:ext cx="2076887" cy="50881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7432" rIns="27432" bIns="0" anchor="t" upright="1"/>
        <a:lstStyle xmlns:a="http://schemas.openxmlformats.org/drawingml/2006/main"/>
        <a:p xmlns:a="http://schemas.openxmlformats.org/drawingml/2006/main">
          <a:pPr algn="ctr" rtl="0">
            <a:defRPr sz="1000"/>
          </a:pPr>
          <a:r>
            <a:rPr lang="en-US" sz="1200" b="1" i="0" u="none" strike="noStrike" baseline="0">
              <a:solidFill>
                <a:srgbClr val="000000"/>
              </a:solidFill>
              <a:latin typeface="Times New Roman"/>
              <a:cs typeface="Times New Roman"/>
            </a:rPr>
            <a:t>MAPE = 42% </a:t>
          </a:r>
        </a:p>
        <a:p xmlns:a="http://schemas.openxmlformats.org/drawingml/2006/main">
          <a:pPr algn="ctr" rtl="0">
            <a:defRPr sz="1000"/>
          </a:pPr>
          <a:r>
            <a:rPr lang="en-US" sz="1200" b="1" i="0" u="none" strike="noStrike" baseline="0">
              <a:solidFill>
                <a:srgbClr val="000000"/>
              </a:solidFill>
              <a:latin typeface="Times New Roman"/>
              <a:cs typeface="Times New Roman"/>
            </a:rPr>
            <a:t>2010–2014</a:t>
          </a:r>
        </a:p>
      </cdr:txBody>
    </cdr:sp>
  </cdr:relSizeAnchor>
</c:userShapes>
</file>

<file path=xl/drawings/drawing7.xml><?xml version="1.0" encoding="utf-8"?>
<xdr:wsDr xmlns:xdr="http://schemas.openxmlformats.org/drawingml/2006/spreadsheetDrawing" xmlns:a="http://schemas.openxmlformats.org/drawingml/2006/main">
  <xdr:twoCellAnchor>
    <xdr:from>
      <xdr:col>5</xdr:col>
      <xdr:colOff>542925</xdr:colOff>
      <xdr:row>2</xdr:row>
      <xdr:rowOff>0</xdr:rowOff>
    </xdr:from>
    <xdr:to>
      <xdr:col>13</xdr:col>
      <xdr:colOff>295275</xdr:colOff>
      <xdr:row>14</xdr:row>
      <xdr:rowOff>171450</xdr:rowOff>
    </xdr:to>
    <xdr:graphicFrame macro="">
      <xdr:nvGraphicFramePr>
        <xdr:cNvPr id="3485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571500</xdr:colOff>
      <xdr:row>15</xdr:row>
      <xdr:rowOff>0</xdr:rowOff>
    </xdr:from>
    <xdr:to>
      <xdr:col>13</xdr:col>
      <xdr:colOff>333375</xdr:colOff>
      <xdr:row>27</xdr:row>
      <xdr:rowOff>180975</xdr:rowOff>
    </xdr:to>
    <xdr:graphicFrame macro="">
      <xdr:nvGraphicFramePr>
        <xdr:cNvPr id="34859"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38100</xdr:colOff>
      <xdr:row>3</xdr:row>
      <xdr:rowOff>19050</xdr:rowOff>
    </xdr:from>
    <xdr:to>
      <xdr:col>31</xdr:col>
      <xdr:colOff>723900</xdr:colOff>
      <xdr:row>15</xdr:row>
      <xdr:rowOff>152400</xdr:rowOff>
    </xdr:to>
    <xdr:graphicFrame macro="">
      <xdr:nvGraphicFramePr>
        <xdr:cNvPr id="34861"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47625</xdr:colOff>
      <xdr:row>15</xdr:row>
      <xdr:rowOff>161925</xdr:rowOff>
    </xdr:from>
    <xdr:to>
      <xdr:col>31</xdr:col>
      <xdr:colOff>733425</xdr:colOff>
      <xdr:row>28</xdr:row>
      <xdr:rowOff>104775</xdr:rowOff>
    </xdr:to>
    <xdr:graphicFrame macro="">
      <xdr:nvGraphicFramePr>
        <xdr:cNvPr id="34862"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619125</xdr:colOff>
      <xdr:row>6</xdr:row>
      <xdr:rowOff>104775</xdr:rowOff>
    </xdr:from>
    <xdr:to>
      <xdr:col>26</xdr:col>
      <xdr:colOff>581025</xdr:colOff>
      <xdr:row>7</xdr:row>
      <xdr:rowOff>152400</xdr:rowOff>
    </xdr:to>
    <xdr:sp macro="" textlink="">
      <xdr:nvSpPr>
        <xdr:cNvPr id="34821" name="Text Box 5"/>
        <xdr:cNvSpPr txBox="1">
          <a:spLocks noChangeArrowheads="1"/>
        </xdr:cNvSpPr>
      </xdr:nvSpPr>
      <xdr:spPr bwMode="auto">
        <a:xfrm>
          <a:off x="19316700" y="1247775"/>
          <a:ext cx="1485900" cy="238125"/>
        </a:xfrm>
        <a:prstGeom prst="rect">
          <a:avLst/>
        </a:prstGeom>
        <a:solidFill>
          <a:srgbClr val="FFFFFF"/>
        </a:solidFill>
        <a:ln w="9525">
          <a:noFill/>
          <a:miter lim="800000"/>
          <a:headEnd/>
          <a:tailEnd/>
        </a:ln>
      </xdr:spPr>
      <xdr:txBody>
        <a:bodyPr vertOverflow="clip" wrap="square" lIns="27432" tIns="27432" rIns="0" bIns="0" anchor="t" upright="1"/>
        <a:lstStyle/>
        <a:p>
          <a:pPr algn="l" rtl="0">
            <a:defRPr sz="1000"/>
          </a:pPr>
          <a:r>
            <a:rPr lang="en-US" sz="1200" b="0" i="0" u="none" strike="noStrike" baseline="0">
              <a:solidFill>
                <a:srgbClr val="000000"/>
              </a:solidFill>
              <a:latin typeface="Times New Roman"/>
              <a:cs typeface="Times New Roman"/>
            </a:rPr>
            <a:t>10-year average</a:t>
          </a:r>
        </a:p>
      </xdr:txBody>
    </xdr:sp>
    <xdr:clientData/>
  </xdr:twoCellAnchor>
  <xdr:twoCellAnchor>
    <xdr:from>
      <xdr:col>25</xdr:col>
      <xdr:colOff>19050</xdr:colOff>
      <xdr:row>7</xdr:row>
      <xdr:rowOff>114301</xdr:rowOff>
    </xdr:from>
    <xdr:to>
      <xdr:col>25</xdr:col>
      <xdr:colOff>219075</xdr:colOff>
      <xdr:row>9</xdr:row>
      <xdr:rowOff>1</xdr:rowOff>
    </xdr:to>
    <xdr:sp macro="" textlink="">
      <xdr:nvSpPr>
        <xdr:cNvPr id="34864" name="Line 6"/>
        <xdr:cNvSpPr>
          <a:spLocks noChangeShapeType="1"/>
        </xdr:cNvSpPr>
      </xdr:nvSpPr>
      <xdr:spPr bwMode="auto">
        <a:xfrm flipH="1">
          <a:off x="19478625" y="1447801"/>
          <a:ext cx="200025" cy="266700"/>
        </a:xfrm>
        <a:prstGeom prst="line">
          <a:avLst/>
        </a:prstGeom>
        <a:noFill/>
        <a:ln w="15875">
          <a:solidFill>
            <a:srgbClr val="000000"/>
          </a:solidFill>
          <a:round/>
          <a:headEnd/>
          <a:tailEnd type="triangle" w="med" len="med"/>
        </a:ln>
      </xdr:spPr>
    </xdr:sp>
    <xdr:clientData/>
  </xdr:twoCellAnchor>
  <xdr:twoCellAnchor>
    <xdr:from>
      <xdr:col>24</xdr:col>
      <xdr:colOff>323850</xdr:colOff>
      <xdr:row>17</xdr:row>
      <xdr:rowOff>133350</xdr:rowOff>
    </xdr:from>
    <xdr:to>
      <xdr:col>26</xdr:col>
      <xdr:colOff>638175</xdr:colOff>
      <xdr:row>18</xdr:row>
      <xdr:rowOff>142875</xdr:rowOff>
    </xdr:to>
    <xdr:sp macro="" textlink="">
      <xdr:nvSpPr>
        <xdr:cNvPr id="34823" name="Text Box 7"/>
        <xdr:cNvSpPr txBox="1">
          <a:spLocks noChangeArrowheads="1"/>
        </xdr:cNvSpPr>
      </xdr:nvSpPr>
      <xdr:spPr bwMode="auto">
        <a:xfrm>
          <a:off x="19021425" y="3371850"/>
          <a:ext cx="1838325" cy="2000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Times New Roman"/>
              <a:cs typeface="Times New Roman"/>
            </a:rPr>
            <a:t>Larger than  recent 10-year average</a:t>
          </a:r>
        </a:p>
      </xdr:txBody>
    </xdr:sp>
    <xdr:clientData/>
  </xdr:twoCellAnchor>
</xdr:wsDr>
</file>

<file path=xl/drawings/drawing8.xml><?xml version="1.0" encoding="utf-8"?>
<c:userShapes xmlns:c="http://schemas.openxmlformats.org/drawingml/2006/chart">
  <cdr:relSizeAnchor xmlns:cdr="http://schemas.openxmlformats.org/drawingml/2006/chartDrawing">
    <cdr:from>
      <cdr:x>0.4221</cdr:x>
      <cdr:y>0.70609</cdr:y>
    </cdr:from>
    <cdr:to>
      <cdr:x>0.71603</cdr:x>
      <cdr:y>0.78343</cdr:y>
    </cdr:to>
    <cdr:sp macro="" textlink="">
      <cdr:nvSpPr>
        <cdr:cNvPr id="36865" name="Text Box 1"/>
        <cdr:cNvSpPr txBox="1">
          <a:spLocks xmlns:a="http://schemas.openxmlformats.org/drawingml/2006/main" noChangeArrowheads="1"/>
        </cdr:cNvSpPr>
      </cdr:nvSpPr>
      <cdr:spPr bwMode="auto">
        <a:xfrm xmlns:a="http://schemas.openxmlformats.org/drawingml/2006/main">
          <a:off x="2938974" y="1708279"/>
          <a:ext cx="2046569" cy="187112"/>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Times New Roman"/>
              <a:cs typeface="Times New Roman"/>
            </a:rPr>
            <a:t>Smaller than recent10-year average</a:t>
          </a:r>
        </a:p>
      </cdr:txBody>
    </cdr:sp>
  </cdr:relSizeAnchor>
</c:userShapes>
</file>

<file path=xl/drawings/drawing9.xml><?xml version="1.0" encoding="utf-8"?>
<xdr:wsDr xmlns:xdr="http://schemas.openxmlformats.org/drawingml/2006/spreadsheetDrawing" xmlns:a="http://schemas.openxmlformats.org/drawingml/2006/main">
  <xdr:twoCellAnchor>
    <xdr:from>
      <xdr:col>5</xdr:col>
      <xdr:colOff>542925</xdr:colOff>
      <xdr:row>2</xdr:row>
      <xdr:rowOff>0</xdr:rowOff>
    </xdr:from>
    <xdr:to>
      <xdr:col>13</xdr:col>
      <xdr:colOff>295275</xdr:colOff>
      <xdr:row>14</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571500</xdr:colOff>
      <xdr:row>15</xdr:row>
      <xdr:rowOff>0</xdr:rowOff>
    </xdr:from>
    <xdr:to>
      <xdr:col>13</xdr:col>
      <xdr:colOff>333375</xdr:colOff>
      <xdr:row>27</xdr:row>
      <xdr:rowOff>180975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38100</xdr:colOff>
      <xdr:row>3</xdr:row>
      <xdr:rowOff>19050</xdr:rowOff>
    </xdr:from>
    <xdr:to>
      <xdr:col>31</xdr:col>
      <xdr:colOff>723900</xdr:colOff>
      <xdr:row>15</xdr:row>
      <xdr:rowOff>152400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47625</xdr:colOff>
      <xdr:row>15</xdr:row>
      <xdr:rowOff>161925</xdr:rowOff>
    </xdr:from>
    <xdr:to>
      <xdr:col>31</xdr:col>
      <xdr:colOff>733425</xdr:colOff>
      <xdr:row>28</xdr:row>
      <xdr:rowOff>104775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657225</xdr:colOff>
      <xdr:row>5</xdr:row>
      <xdr:rowOff>85725</xdr:rowOff>
    </xdr:from>
    <xdr:to>
      <xdr:col>26</xdr:col>
      <xdr:colOff>619125</xdr:colOff>
      <xdr:row>6</xdr:row>
      <xdr:rowOff>133350</xdr:rowOff>
    </xdr:to>
    <xdr:sp macro="" textlink="">
      <xdr:nvSpPr>
        <xdr:cNvPr id="6" name="Text Box 5"/>
        <xdr:cNvSpPr txBox="1">
          <a:spLocks noChangeArrowheads="1"/>
        </xdr:cNvSpPr>
      </xdr:nvSpPr>
      <xdr:spPr bwMode="auto">
        <a:xfrm>
          <a:off x="19354800" y="1038225"/>
          <a:ext cx="1485900" cy="238125"/>
        </a:xfrm>
        <a:prstGeom prst="rect">
          <a:avLst/>
        </a:prstGeom>
        <a:solidFill>
          <a:srgbClr val="FFFFFF"/>
        </a:solidFill>
        <a:ln w="9525">
          <a:noFill/>
          <a:miter lim="800000"/>
          <a:headEnd/>
          <a:tailEnd/>
        </a:ln>
      </xdr:spPr>
      <xdr:txBody>
        <a:bodyPr vertOverflow="clip" wrap="square" lIns="27432" tIns="27432" rIns="0" bIns="0" anchor="t" upright="1"/>
        <a:lstStyle/>
        <a:p>
          <a:pPr algn="l" rtl="0">
            <a:defRPr sz="1000"/>
          </a:pPr>
          <a:r>
            <a:rPr lang="en-US" sz="1200" b="0" i="0" u="none" strike="noStrike" baseline="0">
              <a:solidFill>
                <a:srgbClr val="000000"/>
              </a:solidFill>
              <a:latin typeface="Times New Roman"/>
              <a:cs typeface="Times New Roman"/>
            </a:rPr>
            <a:t>10-year average</a:t>
          </a:r>
        </a:p>
      </xdr:txBody>
    </xdr:sp>
    <xdr:clientData/>
  </xdr:twoCellAnchor>
  <xdr:twoCellAnchor>
    <xdr:from>
      <xdr:col>24</xdr:col>
      <xdr:colOff>676275</xdr:colOff>
      <xdr:row>6</xdr:row>
      <xdr:rowOff>104775</xdr:rowOff>
    </xdr:from>
    <xdr:to>
      <xdr:col>25</xdr:col>
      <xdr:colOff>104775</xdr:colOff>
      <xdr:row>8</xdr:row>
      <xdr:rowOff>123825</xdr:rowOff>
    </xdr:to>
    <xdr:sp macro="" textlink="">
      <xdr:nvSpPr>
        <xdr:cNvPr id="7" name="Line 6"/>
        <xdr:cNvSpPr>
          <a:spLocks noChangeShapeType="1"/>
        </xdr:cNvSpPr>
      </xdr:nvSpPr>
      <xdr:spPr bwMode="auto">
        <a:xfrm flipH="1">
          <a:off x="19450050" y="1247775"/>
          <a:ext cx="190500" cy="400050"/>
        </a:xfrm>
        <a:prstGeom prst="line">
          <a:avLst/>
        </a:prstGeom>
        <a:noFill/>
        <a:ln w="15875">
          <a:solidFill>
            <a:srgbClr val="000000"/>
          </a:solidFill>
          <a:round/>
          <a:headEnd/>
          <a:tailEnd type="triangle" w="med" len="med"/>
        </a:ln>
      </xdr:spPr>
    </xdr:sp>
    <xdr:clientData/>
  </xdr:twoCellAnchor>
  <xdr:twoCellAnchor>
    <xdr:from>
      <xdr:col>25</xdr:col>
      <xdr:colOff>390525</xdr:colOff>
      <xdr:row>18</xdr:row>
      <xdr:rowOff>123825</xdr:rowOff>
    </xdr:from>
    <xdr:to>
      <xdr:col>27</xdr:col>
      <xdr:colOff>704850</xdr:colOff>
      <xdr:row>19</xdr:row>
      <xdr:rowOff>133350</xdr:rowOff>
    </xdr:to>
    <xdr:sp macro="" textlink="">
      <xdr:nvSpPr>
        <xdr:cNvPr id="8" name="Text Box 7"/>
        <xdr:cNvSpPr txBox="1">
          <a:spLocks noChangeArrowheads="1"/>
        </xdr:cNvSpPr>
      </xdr:nvSpPr>
      <xdr:spPr bwMode="auto">
        <a:xfrm>
          <a:off x="19926300" y="3552825"/>
          <a:ext cx="1838325" cy="2000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Times New Roman"/>
              <a:cs typeface="Times New Roman"/>
            </a:rPr>
            <a:t>Larger than  recent 10-year average</a:t>
          </a:r>
        </a:p>
      </xdr:txBody>
    </xdr:sp>
    <xdr:clientData/>
  </xdr:twoCellAnchor>
  <xdr:twoCellAnchor>
    <xdr:from>
      <xdr:col>30</xdr:col>
      <xdr:colOff>561977</xdr:colOff>
      <xdr:row>3</xdr:row>
      <xdr:rowOff>47625</xdr:rowOff>
    </xdr:from>
    <xdr:to>
      <xdr:col>31</xdr:col>
      <xdr:colOff>704851</xdr:colOff>
      <xdr:row>4</xdr:row>
      <xdr:rowOff>133350</xdr:rowOff>
    </xdr:to>
    <xdr:sp macro="" textlink="">
      <xdr:nvSpPr>
        <xdr:cNvPr id="9" name="TextBox 8"/>
        <xdr:cNvSpPr txBox="1"/>
      </xdr:nvSpPr>
      <xdr:spPr>
        <a:xfrm>
          <a:off x="23326727" y="619125"/>
          <a:ext cx="904874"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2013 forecast</a:t>
          </a:r>
        </a:p>
      </xdr:txBody>
    </xdr:sp>
    <xdr:clientData/>
  </xdr:twoCellAnchor>
  <xdr:twoCellAnchor>
    <xdr:from>
      <xdr:col>31</xdr:col>
      <xdr:colOff>476250</xdr:colOff>
      <xdr:row>4</xdr:row>
      <xdr:rowOff>76200</xdr:rowOff>
    </xdr:from>
    <xdr:to>
      <xdr:col>31</xdr:col>
      <xdr:colOff>542926</xdr:colOff>
      <xdr:row>7</xdr:row>
      <xdr:rowOff>133350</xdr:rowOff>
    </xdr:to>
    <xdr:cxnSp macro="">
      <xdr:nvCxnSpPr>
        <xdr:cNvPr id="11" name="Straight Arrow Connector 10"/>
        <xdr:cNvCxnSpPr/>
      </xdr:nvCxnSpPr>
      <xdr:spPr bwMode="auto">
        <a:xfrm>
          <a:off x="24003000" y="838200"/>
          <a:ext cx="66676" cy="6286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drawings/drawing10.xml><?xml version="1.0" encoding="utf-8"?>
<c:userShapes xmlns:c="http://schemas.openxmlformats.org/drawingml/2006/chart">
  <cdr:relSizeAnchor xmlns:cdr="http://schemas.openxmlformats.org/drawingml/2006/chartDrawing">
    <cdr:from>
      <cdr:x>0.38653</cdr:x>
      <cdr:y>0.70609</cdr:y>
    </cdr:from>
    <cdr:to>
      <cdr:x>0.68046</cdr:x>
      <cdr:y>0.78343</cdr:y>
    </cdr:to>
    <cdr:sp macro="" textlink="">
      <cdr:nvSpPr>
        <cdr:cNvPr id="36865" name="Text Box 1"/>
        <cdr:cNvSpPr txBox="1">
          <a:spLocks xmlns:a="http://schemas.openxmlformats.org/drawingml/2006/main" noChangeArrowheads="1"/>
        </cdr:cNvSpPr>
      </cdr:nvSpPr>
      <cdr:spPr bwMode="auto">
        <a:xfrm xmlns:a="http://schemas.openxmlformats.org/drawingml/2006/main">
          <a:off x="2691337" y="1708279"/>
          <a:ext cx="2046569" cy="187112"/>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1000" b="0" i="0" u="none" strike="noStrike" baseline="0">
              <a:solidFill>
                <a:srgbClr val="000000"/>
              </a:solidFill>
              <a:latin typeface="Times New Roman"/>
              <a:cs typeface="Times New Roman"/>
            </a:rPr>
            <a:t>Smaller than recent10-year average</a:t>
          </a:r>
        </a:p>
      </cdr:txBody>
    </cdr:sp>
  </cdr:relSizeAnchor>
</c:userShapes>
</file>

<file path=xl/drawings/drawing11.xml><?xml version="1.0" encoding="utf-8"?>
<xdr:wsDr xmlns:xdr="http://schemas.openxmlformats.org/drawingml/2006/spreadsheetDrawing" xmlns:a="http://schemas.openxmlformats.org/drawingml/2006/main">
  <xdr:twoCellAnchor>
    <xdr:from>
      <xdr:col>0</xdr:col>
      <xdr:colOff>38100</xdr:colOff>
      <xdr:row>2</xdr:row>
      <xdr:rowOff>38100</xdr:rowOff>
    </xdr:from>
    <xdr:to>
      <xdr:col>9</xdr:col>
      <xdr:colOff>676275</xdr:colOff>
      <xdr:row>19</xdr:row>
      <xdr:rowOff>95250</xdr:rowOff>
    </xdr:to>
    <xdr:graphicFrame macro="">
      <xdr:nvGraphicFramePr>
        <xdr:cNvPr id="2459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95250</xdr:colOff>
      <xdr:row>20</xdr:row>
      <xdr:rowOff>57150</xdr:rowOff>
    </xdr:from>
    <xdr:to>
      <xdr:col>10</xdr:col>
      <xdr:colOff>0</xdr:colOff>
      <xdr:row>38</xdr:row>
      <xdr:rowOff>133350</xdr:rowOff>
    </xdr:to>
    <xdr:graphicFrame macro="">
      <xdr:nvGraphicFramePr>
        <xdr:cNvPr id="24598"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114300</xdr:colOff>
      <xdr:row>39</xdr:row>
      <xdr:rowOff>76200</xdr:rowOff>
    </xdr:from>
    <xdr:to>
      <xdr:col>10</xdr:col>
      <xdr:colOff>28575</xdr:colOff>
      <xdr:row>57</xdr:row>
      <xdr:rowOff>161925</xdr:rowOff>
    </xdr:to>
    <xdr:graphicFrame macro="">
      <xdr:nvGraphicFramePr>
        <xdr:cNvPr id="2459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352425</xdr:colOff>
      <xdr:row>12</xdr:row>
      <xdr:rowOff>9525</xdr:rowOff>
    </xdr:from>
    <xdr:to>
      <xdr:col>19</xdr:col>
      <xdr:colOff>390525</xdr:colOff>
      <xdr:row>25</xdr:row>
      <xdr:rowOff>76200</xdr:rowOff>
    </xdr:to>
    <xdr:graphicFrame macro="">
      <xdr:nvGraphicFramePr>
        <xdr:cNvPr id="2460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22</xdr:col>
      <xdr:colOff>231775</xdr:colOff>
      <xdr:row>13</xdr:row>
      <xdr:rowOff>47625</xdr:rowOff>
    </xdr:from>
    <xdr:to>
      <xdr:col>33</xdr:col>
      <xdr:colOff>136525</xdr:colOff>
      <xdr:row>37</xdr:row>
      <xdr:rowOff>76200</xdr:rowOff>
    </xdr:to>
    <xdr:graphicFrame macro="">
      <xdr:nvGraphicFramePr>
        <xdr:cNvPr id="2084"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190500</xdr:colOff>
      <xdr:row>2</xdr:row>
      <xdr:rowOff>101600</xdr:rowOff>
    </xdr:from>
    <xdr:to>
      <xdr:col>23</xdr:col>
      <xdr:colOff>638175</xdr:colOff>
      <xdr:row>7</xdr:row>
      <xdr:rowOff>123825</xdr:rowOff>
    </xdr:to>
    <xdr:sp macro="" textlink="">
      <xdr:nvSpPr>
        <xdr:cNvPr id="2055" name="Text Box 7"/>
        <xdr:cNvSpPr txBox="1">
          <a:spLocks noChangeArrowheads="1"/>
        </xdr:cNvSpPr>
      </xdr:nvSpPr>
      <xdr:spPr bwMode="auto">
        <a:xfrm>
          <a:off x="15367000" y="673100"/>
          <a:ext cx="3749675" cy="987425"/>
        </a:xfrm>
        <a:prstGeom prst="rect">
          <a:avLst/>
        </a:prstGeom>
        <a:solidFill>
          <a:srgbClr val="FFFFFF"/>
        </a:solidFill>
        <a:ln w="9525">
          <a:solidFill>
            <a:srgbClr val="000000"/>
          </a:solidFill>
          <a:miter lim="800000"/>
          <a:headEnd/>
          <a:tailEnd/>
        </a:ln>
      </xdr:spPr>
      <xdr:txBody>
        <a:bodyPr vertOverflow="clip" wrap="square" lIns="36576" tIns="22860" rIns="0" bIns="0" anchor="t" upright="1"/>
        <a:lstStyle/>
        <a:p>
          <a:pPr algn="l" rtl="0">
            <a:defRPr sz="1000"/>
          </a:pPr>
          <a:r>
            <a:rPr lang="en-US" sz="1200" b="0" i="0" u="none" strike="noStrike" baseline="0">
              <a:solidFill>
                <a:srgbClr val="000000"/>
              </a:solidFill>
              <a:latin typeface="SWISS"/>
            </a:rPr>
            <a:t>Includes (Sonar count + Delta escapement * 2 ) - PU/SU harvest.  The upriver hatchery brood and excess HAVE also been subtracted from return years 1978-present</a:t>
          </a:r>
        </a:p>
      </xdr:txBody>
    </xdr:sp>
    <xdr:clientData/>
  </xdr:twoCellAnchor>
  <xdr:twoCellAnchor>
    <xdr:from>
      <xdr:col>18</xdr:col>
      <xdr:colOff>733424</xdr:colOff>
      <xdr:row>4</xdr:row>
      <xdr:rowOff>161925</xdr:rowOff>
    </xdr:from>
    <xdr:to>
      <xdr:col>19</xdr:col>
      <xdr:colOff>228599</xdr:colOff>
      <xdr:row>5</xdr:row>
      <xdr:rowOff>38100</xdr:rowOff>
    </xdr:to>
    <xdr:sp macro="" textlink="">
      <xdr:nvSpPr>
        <xdr:cNvPr id="2086" name="Line 11"/>
        <xdr:cNvSpPr>
          <a:spLocks noChangeShapeType="1"/>
        </xdr:cNvSpPr>
      </xdr:nvSpPr>
      <xdr:spPr bwMode="auto">
        <a:xfrm flipH="1" flipV="1">
          <a:off x="14792324" y="1127125"/>
          <a:ext cx="612775" cy="66675"/>
        </a:xfrm>
        <a:prstGeom prst="line">
          <a:avLst/>
        </a:prstGeom>
        <a:noFill/>
        <a:ln w="9525">
          <a:solidFill>
            <a:srgbClr val="000000"/>
          </a:solidFill>
          <a:round/>
          <a:headEnd/>
          <a:tailEnd type="triangle" w="med" len="me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23</xdr:col>
      <xdr:colOff>549275</xdr:colOff>
      <xdr:row>8</xdr:row>
      <xdr:rowOff>149225</xdr:rowOff>
    </xdr:from>
    <xdr:to>
      <xdr:col>34</xdr:col>
      <xdr:colOff>307975</xdr:colOff>
      <xdr:row>27</xdr:row>
      <xdr:rowOff>82550</xdr:rowOff>
    </xdr:to>
    <xdr:graphicFrame macro="">
      <xdr:nvGraphicFramePr>
        <xdr:cNvPr id="3090"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47</xdr:col>
      <xdr:colOff>0</xdr:colOff>
      <xdr:row>1</xdr:row>
      <xdr:rowOff>47625</xdr:rowOff>
    </xdr:from>
    <xdr:to>
      <xdr:col>58</xdr:col>
      <xdr:colOff>800100</xdr:colOff>
      <xdr:row>35</xdr:row>
      <xdr:rowOff>180975</xdr:rowOff>
    </xdr:to>
    <xdr:graphicFrame macro="">
      <xdr:nvGraphicFramePr>
        <xdr:cNvPr id="3091"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5</xdr:col>
      <xdr:colOff>409574</xdr:colOff>
      <xdr:row>3</xdr:row>
      <xdr:rowOff>166686</xdr:rowOff>
    </xdr:from>
    <xdr:to>
      <xdr:col>13</xdr:col>
      <xdr:colOff>609599</xdr:colOff>
      <xdr:row>30</xdr:row>
      <xdr:rowOff>57149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409575</xdr:colOff>
      <xdr:row>30</xdr:row>
      <xdr:rowOff>66675</xdr:rowOff>
    </xdr:from>
    <xdr:to>
      <xdr:col>13</xdr:col>
      <xdr:colOff>609600</xdr:colOff>
      <xdr:row>56</xdr:row>
      <xdr:rowOff>147638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32</xdr:col>
      <xdr:colOff>9525</xdr:colOff>
      <xdr:row>13</xdr:row>
      <xdr:rowOff>38100</xdr:rowOff>
    </xdr:from>
    <xdr:to>
      <xdr:col>42</xdr:col>
      <xdr:colOff>762000</xdr:colOff>
      <xdr:row>40</xdr:row>
      <xdr:rowOff>171450</xdr:rowOff>
    </xdr:to>
    <xdr:graphicFrame macro="">
      <xdr:nvGraphicFramePr>
        <xdr:cNvPr id="15406"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44</xdr:col>
      <xdr:colOff>0</xdr:colOff>
      <xdr:row>13</xdr:row>
      <xdr:rowOff>0</xdr:rowOff>
    </xdr:from>
    <xdr:to>
      <xdr:col>54</xdr:col>
      <xdr:colOff>762000</xdr:colOff>
      <xdr:row>41</xdr:row>
      <xdr:rowOff>9525</xdr:rowOff>
    </xdr:to>
    <xdr:graphicFrame macro="">
      <xdr:nvGraphicFramePr>
        <xdr:cNvPr id="15407"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476250</xdr:colOff>
          <xdr:row>2</xdr:row>
          <xdr:rowOff>28575</xdr:rowOff>
        </xdr:from>
        <xdr:to>
          <xdr:col>13</xdr:col>
          <xdr:colOff>57150</xdr:colOff>
          <xdr:row>6</xdr:row>
          <xdr:rowOff>57150</xdr:rowOff>
        </xdr:to>
        <xdr:sp macro="" textlink="">
          <xdr:nvSpPr>
            <xdr:cNvPr id="15387" name="CommandButton1" hidden="1">
              <a:extLst>
                <a:ext uri="{63B3BB69-23CF-44E3-9099-C40C66FF867C}">
                  <a14:compatExt spid="_x0000_s153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2</xdr:row>
          <xdr:rowOff>0</xdr:rowOff>
        </xdr:from>
        <xdr:to>
          <xdr:col>17</xdr:col>
          <xdr:colOff>457200</xdr:colOff>
          <xdr:row>6</xdr:row>
          <xdr:rowOff>28575</xdr:rowOff>
        </xdr:to>
        <xdr:sp macro="" textlink="">
          <xdr:nvSpPr>
            <xdr:cNvPr id="15391" name="CommandButton2" hidden="1">
              <a:extLst>
                <a:ext uri="{63B3BB69-23CF-44E3-9099-C40C66FF867C}">
                  <a14:compatExt spid="_x0000_s15391"/>
                </a:ext>
              </a:extLst>
            </xdr:cNvPr>
            <xdr:cNvSpPr/>
          </xdr:nvSpPr>
          <xdr:spPr>
            <a:xfrm>
              <a:off x="0" y="0"/>
              <a:ext cx="0" cy="0"/>
            </a:xfrm>
            <a:prstGeom prst="rect">
              <a:avLst/>
            </a:prstGeom>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32</xdr:col>
      <xdr:colOff>114300</xdr:colOff>
      <xdr:row>11</xdr:row>
      <xdr:rowOff>28575</xdr:rowOff>
    </xdr:from>
    <xdr:to>
      <xdr:col>39</xdr:col>
      <xdr:colOff>809625</xdr:colOff>
      <xdr:row>34</xdr:row>
      <xdr:rowOff>161925</xdr:rowOff>
    </xdr:to>
    <xdr:graphicFrame macro="">
      <xdr:nvGraphicFramePr>
        <xdr:cNvPr id="16421"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8</xdr:col>
          <xdr:colOff>695325</xdr:colOff>
          <xdr:row>2</xdr:row>
          <xdr:rowOff>0</xdr:rowOff>
        </xdr:from>
        <xdr:to>
          <xdr:col>12</xdr:col>
          <xdr:colOff>552450</xdr:colOff>
          <xdr:row>6</xdr:row>
          <xdr:rowOff>28575</xdr:rowOff>
        </xdr:to>
        <xdr:sp macro="" textlink="">
          <xdr:nvSpPr>
            <xdr:cNvPr id="16416" name="CommandButton1" hidden="1">
              <a:extLst>
                <a:ext uri="{63B3BB69-23CF-44E3-9099-C40C66FF867C}">
                  <a14:compatExt spid="_x0000_s16416"/>
                </a:ext>
              </a:extLst>
            </xdr:cNvPr>
            <xdr:cNvSpPr/>
          </xdr:nvSpPr>
          <xdr:spPr>
            <a:xfrm>
              <a:off x="0" y="0"/>
              <a:ext cx="0" cy="0"/>
            </a:xfrm>
            <a:prstGeom prst="rect">
              <a:avLst/>
            </a:prstGeom>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32</xdr:col>
      <xdr:colOff>133350</xdr:colOff>
      <xdr:row>60</xdr:row>
      <xdr:rowOff>95250</xdr:rowOff>
    </xdr:from>
    <xdr:to>
      <xdr:col>39</xdr:col>
      <xdr:colOff>771525</xdr:colOff>
      <xdr:row>89</xdr:row>
      <xdr:rowOff>9525</xdr:rowOff>
    </xdr:to>
    <xdr:graphicFrame macro="">
      <xdr:nvGraphicFramePr>
        <xdr:cNvPr id="5291"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32</xdr:col>
      <xdr:colOff>114300</xdr:colOff>
      <xdr:row>12</xdr:row>
      <xdr:rowOff>47625</xdr:rowOff>
    </xdr:from>
    <xdr:to>
      <xdr:col>39</xdr:col>
      <xdr:colOff>752475</xdr:colOff>
      <xdr:row>39</xdr:row>
      <xdr:rowOff>104775</xdr:rowOff>
    </xdr:to>
    <xdr:graphicFrame macro="">
      <xdr:nvGraphicFramePr>
        <xdr:cNvPr id="5292"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40</xdr:col>
      <xdr:colOff>85725</xdr:colOff>
      <xdr:row>60</xdr:row>
      <xdr:rowOff>104775</xdr:rowOff>
    </xdr:from>
    <xdr:to>
      <xdr:col>47</xdr:col>
      <xdr:colOff>238125</xdr:colOff>
      <xdr:row>89</xdr:row>
      <xdr:rowOff>9525</xdr:rowOff>
    </xdr:to>
    <xdr:graphicFrame macro="">
      <xdr:nvGraphicFramePr>
        <xdr:cNvPr id="5293"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8</xdr:col>
          <xdr:colOff>723900</xdr:colOff>
          <xdr:row>2</xdr:row>
          <xdr:rowOff>142875</xdr:rowOff>
        </xdr:from>
        <xdr:to>
          <xdr:col>13</xdr:col>
          <xdr:colOff>133350</xdr:colOff>
          <xdr:row>6</xdr:row>
          <xdr:rowOff>171450</xdr:rowOff>
        </xdr:to>
        <xdr:sp macro="" textlink="">
          <xdr:nvSpPr>
            <xdr:cNvPr id="5277" name="CommandButton1" hidden="1">
              <a:extLst>
                <a:ext uri="{63B3BB69-23CF-44E3-9099-C40C66FF867C}">
                  <a14:compatExt spid="_x0000_s5277"/>
                </a:ext>
              </a:extLst>
            </xdr:cNvPr>
            <xdr:cNvSpPr/>
          </xdr:nvSpPr>
          <xdr:spPr>
            <a:xfrm>
              <a:off x="0" y="0"/>
              <a:ext cx="0" cy="0"/>
            </a:xfrm>
            <a:prstGeom prst="rect">
              <a:avLst/>
            </a:prstGeom>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32</xdr:col>
      <xdr:colOff>66675</xdr:colOff>
      <xdr:row>12</xdr:row>
      <xdr:rowOff>9525</xdr:rowOff>
    </xdr:from>
    <xdr:to>
      <xdr:col>39</xdr:col>
      <xdr:colOff>695325</xdr:colOff>
      <xdr:row>36</xdr:row>
      <xdr:rowOff>104775</xdr:rowOff>
    </xdr:to>
    <xdr:graphicFrame macro="">
      <xdr:nvGraphicFramePr>
        <xdr:cNvPr id="6305"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8</xdr:col>
          <xdr:colOff>438150</xdr:colOff>
          <xdr:row>2</xdr:row>
          <xdr:rowOff>9525</xdr:rowOff>
        </xdr:from>
        <xdr:to>
          <xdr:col>12</xdr:col>
          <xdr:colOff>838200</xdr:colOff>
          <xdr:row>6</xdr:row>
          <xdr:rowOff>38100</xdr:rowOff>
        </xdr:to>
        <xdr:sp macro="" textlink="">
          <xdr:nvSpPr>
            <xdr:cNvPr id="6299" name="CommandButton1" hidden="1">
              <a:extLst>
                <a:ext uri="{63B3BB69-23CF-44E3-9099-C40C66FF867C}">
                  <a14:compatExt spid="_x0000_s6299"/>
                </a:ext>
              </a:extLst>
            </xdr:cNvPr>
            <xdr:cNvSpPr/>
          </xdr:nvSpPr>
          <xdr:spPr>
            <a:xfrm>
              <a:off x="0" y="0"/>
              <a:ext cx="0" cy="0"/>
            </a:xfrm>
            <a:prstGeom prst="rect">
              <a:avLst/>
            </a:prstGeom>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27</xdr:col>
      <xdr:colOff>57150</xdr:colOff>
      <xdr:row>12</xdr:row>
      <xdr:rowOff>180975</xdr:rowOff>
    </xdr:from>
    <xdr:to>
      <xdr:col>38</xdr:col>
      <xdr:colOff>447675</xdr:colOff>
      <xdr:row>38</xdr:row>
      <xdr:rowOff>114300</xdr:rowOff>
    </xdr:to>
    <xdr:graphicFrame macro="">
      <xdr:nvGraphicFramePr>
        <xdr:cNvPr id="2562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39</xdr:col>
      <xdr:colOff>57150</xdr:colOff>
      <xdr:row>13</xdr:row>
      <xdr:rowOff>0</xdr:rowOff>
    </xdr:from>
    <xdr:to>
      <xdr:col>50</xdr:col>
      <xdr:colOff>704850</xdr:colOff>
      <xdr:row>38</xdr:row>
      <xdr:rowOff>114300</xdr:rowOff>
    </xdr:to>
    <xdr:graphicFrame macro="">
      <xdr:nvGraphicFramePr>
        <xdr:cNvPr id="2562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552450</xdr:colOff>
          <xdr:row>2</xdr:row>
          <xdr:rowOff>9525</xdr:rowOff>
        </xdr:from>
        <xdr:to>
          <xdr:col>12</xdr:col>
          <xdr:colOff>142875</xdr:colOff>
          <xdr:row>6</xdr:row>
          <xdr:rowOff>38100</xdr:rowOff>
        </xdr:to>
        <xdr:sp macro="" textlink="">
          <xdr:nvSpPr>
            <xdr:cNvPr id="25601" name="CommandButton1" hidden="1">
              <a:extLst>
                <a:ext uri="{63B3BB69-23CF-44E3-9099-C40C66FF867C}">
                  <a14:compatExt spid="_x0000_s25601"/>
                </a:ext>
              </a:extLst>
            </xdr:cNvPr>
            <xdr:cNvSpPr/>
          </xdr:nvSpPr>
          <xdr:spPr>
            <a:xfrm>
              <a:off x="0" y="0"/>
              <a:ext cx="0" cy="0"/>
            </a:xfrm>
            <a:prstGeom prst="rect">
              <a:avLst/>
            </a:prstGeom>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32</xdr:col>
      <xdr:colOff>66675</xdr:colOff>
      <xdr:row>64</xdr:row>
      <xdr:rowOff>38100</xdr:rowOff>
    </xdr:from>
    <xdr:to>
      <xdr:col>40</xdr:col>
      <xdr:colOff>657225</xdr:colOff>
      <xdr:row>92</xdr:row>
      <xdr:rowOff>9525</xdr:rowOff>
    </xdr:to>
    <xdr:graphicFrame macro="">
      <xdr:nvGraphicFramePr>
        <xdr:cNvPr id="7197"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32</xdr:col>
      <xdr:colOff>19050</xdr:colOff>
      <xdr:row>12</xdr:row>
      <xdr:rowOff>28575</xdr:rowOff>
    </xdr:from>
    <xdr:to>
      <xdr:col>40</xdr:col>
      <xdr:colOff>600075</xdr:colOff>
      <xdr:row>37</xdr:row>
      <xdr:rowOff>161925</xdr:rowOff>
    </xdr:to>
    <xdr:graphicFrame macro="">
      <xdr:nvGraphicFramePr>
        <xdr:cNvPr id="7198"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41</xdr:col>
      <xdr:colOff>47625</xdr:colOff>
      <xdr:row>64</xdr:row>
      <xdr:rowOff>38100</xdr:rowOff>
    </xdr:from>
    <xdr:to>
      <xdr:col>48</xdr:col>
      <xdr:colOff>781050</xdr:colOff>
      <xdr:row>92</xdr:row>
      <xdr:rowOff>28575</xdr:rowOff>
    </xdr:to>
    <xdr:graphicFrame macro="">
      <xdr:nvGraphicFramePr>
        <xdr:cNvPr id="7199"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8</xdr:col>
          <xdr:colOff>457200</xdr:colOff>
          <xdr:row>2</xdr:row>
          <xdr:rowOff>0</xdr:rowOff>
        </xdr:from>
        <xdr:to>
          <xdr:col>12</xdr:col>
          <xdr:colOff>542925</xdr:colOff>
          <xdr:row>6</xdr:row>
          <xdr:rowOff>28575</xdr:rowOff>
        </xdr:to>
        <xdr:sp macro="" textlink="">
          <xdr:nvSpPr>
            <xdr:cNvPr id="7183" name="CommandButton1" hidden="1">
              <a:extLst>
                <a:ext uri="{63B3BB69-23CF-44E3-9099-C40C66FF867C}">
                  <a14:compatExt spid="_x0000_s7183"/>
                </a:ext>
              </a:extLst>
            </xdr:cNvPr>
            <xdr:cNvSpPr/>
          </xdr:nvSpPr>
          <xdr:spPr>
            <a:xfrm>
              <a:off x="0" y="0"/>
              <a:ext cx="0" cy="0"/>
            </a:xfrm>
            <a:prstGeom prst="rect">
              <a:avLst/>
            </a:prstGeom>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32</xdr:col>
      <xdr:colOff>47625</xdr:colOff>
      <xdr:row>12</xdr:row>
      <xdr:rowOff>38100</xdr:rowOff>
    </xdr:from>
    <xdr:to>
      <xdr:col>42</xdr:col>
      <xdr:colOff>0</xdr:colOff>
      <xdr:row>39</xdr:row>
      <xdr:rowOff>0</xdr:rowOff>
    </xdr:to>
    <xdr:graphicFrame macro="">
      <xdr:nvGraphicFramePr>
        <xdr:cNvPr id="8223"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32</xdr:col>
      <xdr:colOff>257175</xdr:colOff>
      <xdr:row>49</xdr:row>
      <xdr:rowOff>66675</xdr:rowOff>
    </xdr:from>
    <xdr:to>
      <xdr:col>41</xdr:col>
      <xdr:colOff>685800</xdr:colOff>
      <xdr:row>83</xdr:row>
      <xdr:rowOff>66675</xdr:rowOff>
    </xdr:to>
    <xdr:graphicFrame macro="">
      <xdr:nvGraphicFramePr>
        <xdr:cNvPr id="8224"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32</xdr:col>
      <xdr:colOff>161925</xdr:colOff>
      <xdr:row>84</xdr:row>
      <xdr:rowOff>28575</xdr:rowOff>
    </xdr:from>
    <xdr:to>
      <xdr:col>39</xdr:col>
      <xdr:colOff>133350</xdr:colOff>
      <xdr:row>106</xdr:row>
      <xdr:rowOff>95250</xdr:rowOff>
    </xdr:to>
    <xdr:graphicFrame macro="">
      <xdr:nvGraphicFramePr>
        <xdr:cNvPr id="8225"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7</xdr:col>
          <xdr:colOff>857250</xdr:colOff>
          <xdr:row>2</xdr:row>
          <xdr:rowOff>9525</xdr:rowOff>
        </xdr:from>
        <xdr:to>
          <xdr:col>12</xdr:col>
          <xdr:colOff>295275</xdr:colOff>
          <xdr:row>6</xdr:row>
          <xdr:rowOff>38100</xdr:rowOff>
        </xdr:to>
        <xdr:sp macro="" textlink="">
          <xdr:nvSpPr>
            <xdr:cNvPr id="8210" name="CommandButton1" hidden="1">
              <a:extLst>
                <a:ext uri="{63B3BB69-23CF-44E3-9099-C40C66FF867C}">
                  <a14:compatExt spid="_x0000_s8210"/>
                </a:ext>
              </a:extLst>
            </xdr:cNvPr>
            <xdr:cNvSpPr/>
          </xdr:nvSpPr>
          <xdr:spPr>
            <a:xfrm>
              <a:off x="0" y="0"/>
              <a:ext cx="0" cy="0"/>
            </a:xfrm>
            <a:prstGeom prst="rect">
              <a:avLst/>
            </a:prstGeom>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32</xdr:col>
      <xdr:colOff>104775</xdr:colOff>
      <xdr:row>12</xdr:row>
      <xdr:rowOff>47625</xdr:rowOff>
    </xdr:from>
    <xdr:to>
      <xdr:col>40</xdr:col>
      <xdr:colOff>723900</xdr:colOff>
      <xdr:row>38</xdr:row>
      <xdr:rowOff>104775</xdr:rowOff>
    </xdr:to>
    <xdr:graphicFrame macro="">
      <xdr:nvGraphicFramePr>
        <xdr:cNvPr id="10266"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8</xdr:col>
          <xdr:colOff>542925</xdr:colOff>
          <xdr:row>1</xdr:row>
          <xdr:rowOff>171450</xdr:rowOff>
        </xdr:from>
        <xdr:to>
          <xdr:col>12</xdr:col>
          <xdr:colOff>466725</xdr:colOff>
          <xdr:row>6</xdr:row>
          <xdr:rowOff>9525</xdr:rowOff>
        </xdr:to>
        <xdr:sp macro="" textlink="">
          <xdr:nvSpPr>
            <xdr:cNvPr id="10260" name="CommandButton1" hidden="1">
              <a:extLst>
                <a:ext uri="{63B3BB69-23CF-44E3-9099-C40C66FF867C}">
                  <a14:compatExt spid="_x0000_s10260"/>
                </a:ext>
              </a:extLst>
            </xdr:cNvPr>
            <xdr:cNvSpPr/>
          </xdr:nvSpPr>
          <xdr:spPr>
            <a:xfrm>
              <a:off x="0" y="0"/>
              <a:ext cx="0" cy="0"/>
            </a:xfrm>
            <a:prstGeom prst="rect">
              <a:avLst/>
            </a:prstGeom>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30</xdr:col>
      <xdr:colOff>38100</xdr:colOff>
      <xdr:row>11</xdr:row>
      <xdr:rowOff>152400</xdr:rowOff>
    </xdr:from>
    <xdr:to>
      <xdr:col>40</xdr:col>
      <xdr:colOff>161925</xdr:colOff>
      <xdr:row>38</xdr:row>
      <xdr:rowOff>171450</xdr:rowOff>
    </xdr:to>
    <xdr:graphicFrame macro="">
      <xdr:nvGraphicFramePr>
        <xdr:cNvPr id="9242"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8</xdr:col>
          <xdr:colOff>1038225</xdr:colOff>
          <xdr:row>2</xdr:row>
          <xdr:rowOff>9525</xdr:rowOff>
        </xdr:from>
        <xdr:to>
          <xdr:col>12</xdr:col>
          <xdr:colOff>962025</xdr:colOff>
          <xdr:row>6</xdr:row>
          <xdr:rowOff>38100</xdr:rowOff>
        </xdr:to>
        <xdr:sp macro="" textlink="">
          <xdr:nvSpPr>
            <xdr:cNvPr id="9236" name="CommandButton1" hidden="1">
              <a:extLst>
                <a:ext uri="{63B3BB69-23CF-44E3-9099-C40C66FF867C}">
                  <a14:compatExt spid="_x0000_s9236"/>
                </a:ext>
              </a:extLst>
            </xdr:cNvPr>
            <xdr:cNvSpPr/>
          </xdr:nvSpPr>
          <xdr:spPr>
            <a:xfrm>
              <a:off x="0" y="0"/>
              <a:ext cx="0" cy="0"/>
            </a:xfrm>
            <a:prstGeom prst="rect">
              <a:avLst/>
            </a:prstGeom>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32</xdr:col>
      <xdr:colOff>57150</xdr:colOff>
      <xdr:row>12</xdr:row>
      <xdr:rowOff>38100</xdr:rowOff>
    </xdr:from>
    <xdr:to>
      <xdr:col>43</xdr:col>
      <xdr:colOff>657225</xdr:colOff>
      <xdr:row>38</xdr:row>
      <xdr:rowOff>133350</xdr:rowOff>
    </xdr:to>
    <xdr:graphicFrame macro="">
      <xdr:nvGraphicFramePr>
        <xdr:cNvPr id="1129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8</xdr:col>
          <xdr:colOff>0</xdr:colOff>
          <xdr:row>1</xdr:row>
          <xdr:rowOff>180975</xdr:rowOff>
        </xdr:from>
        <xdr:to>
          <xdr:col>12</xdr:col>
          <xdr:colOff>371475</xdr:colOff>
          <xdr:row>6</xdr:row>
          <xdr:rowOff>19050</xdr:rowOff>
        </xdr:to>
        <xdr:sp macro="" textlink="">
          <xdr:nvSpPr>
            <xdr:cNvPr id="11285" name="CommandButton1" hidden="1">
              <a:extLst>
                <a:ext uri="{63B3BB69-23CF-44E3-9099-C40C66FF867C}">
                  <a14:compatExt spid="_x0000_s11285"/>
                </a:ext>
              </a:extLst>
            </xdr:cNvPr>
            <xdr:cNvSpPr/>
          </xdr:nvSpPr>
          <xdr:spPr>
            <a:xfrm>
              <a:off x="0" y="0"/>
              <a:ext cx="0" cy="0"/>
            </a:xfrm>
            <a:prstGeom prst="rect">
              <a:avLst/>
            </a:prstGeom>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xdr:from>
      <xdr:col>32</xdr:col>
      <xdr:colOff>66675</xdr:colOff>
      <xdr:row>12</xdr:row>
      <xdr:rowOff>28575</xdr:rowOff>
    </xdr:from>
    <xdr:to>
      <xdr:col>40</xdr:col>
      <xdr:colOff>590550</xdr:colOff>
      <xdr:row>38</xdr:row>
      <xdr:rowOff>66675</xdr:rowOff>
    </xdr:to>
    <xdr:graphicFrame macro="">
      <xdr:nvGraphicFramePr>
        <xdr:cNvPr id="12316"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8</xdr:col>
          <xdr:colOff>247650</xdr:colOff>
          <xdr:row>2</xdr:row>
          <xdr:rowOff>0</xdr:rowOff>
        </xdr:from>
        <xdr:to>
          <xdr:col>12</xdr:col>
          <xdr:colOff>466725</xdr:colOff>
          <xdr:row>6</xdr:row>
          <xdr:rowOff>28575</xdr:rowOff>
        </xdr:to>
        <xdr:sp macro="" textlink="">
          <xdr:nvSpPr>
            <xdr:cNvPr id="12310" name="CommandButton1" hidden="1">
              <a:extLst>
                <a:ext uri="{63B3BB69-23CF-44E3-9099-C40C66FF867C}">
                  <a14:compatExt spid="_x0000_s12310"/>
                </a:ext>
              </a:extLst>
            </xdr:cNvPr>
            <xdr:cNvSpPr/>
          </xdr:nvSpPr>
          <xdr:spPr>
            <a:xfrm>
              <a:off x="0" y="0"/>
              <a:ext cx="0" cy="0"/>
            </a:xfrm>
            <a:prstGeom prst="rect">
              <a:avLst/>
            </a:prstGeom>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32</xdr:col>
      <xdr:colOff>57150</xdr:colOff>
      <xdr:row>12</xdr:row>
      <xdr:rowOff>9525</xdr:rowOff>
    </xdr:from>
    <xdr:to>
      <xdr:col>39</xdr:col>
      <xdr:colOff>695325</xdr:colOff>
      <xdr:row>37</xdr:row>
      <xdr:rowOff>104775</xdr:rowOff>
    </xdr:to>
    <xdr:graphicFrame macro="">
      <xdr:nvGraphicFramePr>
        <xdr:cNvPr id="13351"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32</xdr:col>
      <xdr:colOff>57150</xdr:colOff>
      <xdr:row>58</xdr:row>
      <xdr:rowOff>104775</xdr:rowOff>
    </xdr:from>
    <xdr:to>
      <xdr:col>39</xdr:col>
      <xdr:colOff>733425</xdr:colOff>
      <xdr:row>82</xdr:row>
      <xdr:rowOff>114300</xdr:rowOff>
    </xdr:to>
    <xdr:graphicFrame macro="">
      <xdr:nvGraphicFramePr>
        <xdr:cNvPr id="13352"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40</xdr:col>
      <xdr:colOff>142875</xdr:colOff>
      <xdr:row>58</xdr:row>
      <xdr:rowOff>142875</xdr:rowOff>
    </xdr:from>
    <xdr:to>
      <xdr:col>47</xdr:col>
      <xdr:colOff>238125</xdr:colOff>
      <xdr:row>83</xdr:row>
      <xdr:rowOff>0</xdr:rowOff>
    </xdr:to>
    <xdr:graphicFrame macro="">
      <xdr:nvGraphicFramePr>
        <xdr:cNvPr id="13353"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8</xdr:col>
          <xdr:colOff>114300</xdr:colOff>
          <xdr:row>1</xdr:row>
          <xdr:rowOff>171450</xdr:rowOff>
        </xdr:from>
        <xdr:to>
          <xdr:col>12</xdr:col>
          <xdr:colOff>361950</xdr:colOff>
          <xdr:row>6</xdr:row>
          <xdr:rowOff>9525</xdr:rowOff>
        </xdr:to>
        <xdr:sp macro="" textlink="">
          <xdr:nvSpPr>
            <xdr:cNvPr id="13337" name="CommandButton1" hidden="1">
              <a:extLst>
                <a:ext uri="{63B3BB69-23CF-44E3-9099-C40C66FF867C}">
                  <a14:compatExt spid="_x0000_s13337"/>
                </a:ext>
              </a:extLst>
            </xdr:cNvPr>
            <xdr:cNvSpPr/>
          </xdr:nvSpPr>
          <xdr:spPr>
            <a:xfrm>
              <a:off x="0" y="0"/>
              <a:ext cx="0" cy="0"/>
            </a:xfrm>
            <a:prstGeom prst="rect">
              <a:avLst/>
            </a:prstGeom>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32</xdr:col>
      <xdr:colOff>57150</xdr:colOff>
      <xdr:row>12</xdr:row>
      <xdr:rowOff>38100</xdr:rowOff>
    </xdr:from>
    <xdr:to>
      <xdr:col>39</xdr:col>
      <xdr:colOff>609600</xdr:colOff>
      <xdr:row>37</xdr:row>
      <xdr:rowOff>133350</xdr:rowOff>
    </xdr:to>
    <xdr:graphicFrame macro="">
      <xdr:nvGraphicFramePr>
        <xdr:cNvPr id="14370"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8</xdr:col>
          <xdr:colOff>400050</xdr:colOff>
          <xdr:row>2</xdr:row>
          <xdr:rowOff>0</xdr:rowOff>
        </xdr:from>
        <xdr:to>
          <xdr:col>12</xdr:col>
          <xdr:colOff>209550</xdr:colOff>
          <xdr:row>6</xdr:row>
          <xdr:rowOff>28575</xdr:rowOff>
        </xdr:to>
        <xdr:sp macro="" textlink="">
          <xdr:nvSpPr>
            <xdr:cNvPr id="14362" name="CommandButton1" hidden="1">
              <a:extLst>
                <a:ext uri="{63B3BB69-23CF-44E3-9099-C40C66FF867C}">
                  <a14:compatExt spid="_x0000_s14362"/>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CF\Management\AMRs\2006_AMR\Appendix%20A\data\_A6&amp;A8-05%20%20Miles%20Lake%20Sonar%20Daily%20Count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fgcdvfs02.dfg.alaska.local\common\CURRENT\REPORTS\1999ce\APPA059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CURRENT\REPORTS\1999ce\APPA0599.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F:\2013_Salmon_forecasts\2013_Copper%20River%20Wild%20Sockeye%20forecast.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CURRENT\REPORTS\2005C&amp;E\APPA020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F:\111_Network%20Drives\salmon\CBRSalmon\AWL\CatchbyAge_Sock.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111_Network%20Drives/salmon/CBRSalmon/AWL/CatchbyAge_Sock.xls"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PathMissing" Target="ln23xln13"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CURRENT\REPORTS\2005C&amp;E\APPA0305.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N:\Environmental%20Data\Water%20Level\MilesLake_WaterLevel.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DCF/SALMON/HATCH_STUDIES/111_CBR/GulkanaHatchery/GH_Contributions/111_SUMMARIES/ADFG_GH_HistoricalProduction_November_201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6"/>
      <sheetName val="A7"/>
    </sheetNames>
    <sheetDataSet>
      <sheetData sheetId="0"/>
      <sheetData sheetId="1">
        <row r="7">
          <cell r="P7">
            <v>38850</v>
          </cell>
          <cell r="Q7">
            <v>18</v>
          </cell>
          <cell r="R7">
            <v>0</v>
          </cell>
          <cell r="S7">
            <v>18</v>
          </cell>
          <cell r="T7" t="str">
            <v>NA</v>
          </cell>
        </row>
        <row r="8">
          <cell r="P8">
            <v>38851</v>
          </cell>
          <cell r="Q8">
            <v>24</v>
          </cell>
          <cell r="R8">
            <v>0</v>
          </cell>
          <cell r="S8">
            <v>42</v>
          </cell>
          <cell r="T8" t="str">
            <v>NA</v>
          </cell>
        </row>
        <row r="9">
          <cell r="P9">
            <v>38852</v>
          </cell>
          <cell r="Q9">
            <v>72</v>
          </cell>
          <cell r="R9">
            <v>0</v>
          </cell>
          <cell r="S9">
            <v>114</v>
          </cell>
          <cell r="T9" t="str">
            <v>NA</v>
          </cell>
        </row>
        <row r="10">
          <cell r="P10">
            <v>38853</v>
          </cell>
          <cell r="Q10">
            <v>78</v>
          </cell>
          <cell r="R10">
            <v>364.95613277727398</v>
          </cell>
          <cell r="S10">
            <v>192</v>
          </cell>
          <cell r="T10">
            <v>364.95613277727398</v>
          </cell>
        </row>
        <row r="11">
          <cell r="P11">
            <v>38854</v>
          </cell>
          <cell r="Q11">
            <v>102</v>
          </cell>
          <cell r="R11">
            <v>579.04320426302286</v>
          </cell>
          <cell r="S11">
            <v>294</v>
          </cell>
          <cell r="T11">
            <v>943.99933704029684</v>
          </cell>
        </row>
        <row r="12">
          <cell r="P12">
            <v>38855</v>
          </cell>
          <cell r="Q12">
            <v>18</v>
          </cell>
          <cell r="R12">
            <v>1737.4803008937831</v>
          </cell>
          <cell r="S12">
            <v>312</v>
          </cell>
          <cell r="T12">
            <v>2681.4796379340801</v>
          </cell>
        </row>
        <row r="13">
          <cell r="P13">
            <v>38856</v>
          </cell>
          <cell r="Q13">
            <v>18</v>
          </cell>
          <cell r="R13">
            <v>3045.4740352355757</v>
          </cell>
          <cell r="S13">
            <v>330</v>
          </cell>
          <cell r="T13">
            <v>5726.9536731696553</v>
          </cell>
        </row>
        <row r="14">
          <cell r="P14">
            <v>38857</v>
          </cell>
          <cell r="Q14">
            <v>72</v>
          </cell>
          <cell r="R14">
            <v>4432.7873489695694</v>
          </cell>
          <cell r="S14">
            <v>402</v>
          </cell>
          <cell r="T14">
            <v>10159.741022139224</v>
          </cell>
        </row>
        <row r="15">
          <cell r="P15">
            <v>38858</v>
          </cell>
          <cell r="Q15">
            <v>0</v>
          </cell>
          <cell r="R15">
            <v>5008.0205341019782</v>
          </cell>
          <cell r="S15">
            <v>402</v>
          </cell>
          <cell r="T15">
            <v>15167.761556241203</v>
          </cell>
        </row>
        <row r="16">
          <cell r="P16">
            <v>38859</v>
          </cell>
          <cell r="Q16">
            <v>0</v>
          </cell>
          <cell r="R16">
            <v>7699.6247218248645</v>
          </cell>
          <cell r="S16">
            <v>402</v>
          </cell>
          <cell r="T16">
            <v>22867.386278066067</v>
          </cell>
        </row>
        <row r="17">
          <cell r="P17">
            <v>38860</v>
          </cell>
          <cell r="Q17">
            <v>138</v>
          </cell>
          <cell r="R17">
            <v>8782.9313660003572</v>
          </cell>
          <cell r="S17">
            <v>540</v>
          </cell>
          <cell r="T17">
            <v>31650.317644066425</v>
          </cell>
        </row>
        <row r="18">
          <cell r="P18">
            <v>38861</v>
          </cell>
          <cell r="Q18">
            <v>627</v>
          </cell>
          <cell r="R18">
            <v>9696.2847648994757</v>
          </cell>
          <cell r="S18">
            <v>1167</v>
          </cell>
          <cell r="T18">
            <v>41346.602408965904</v>
          </cell>
        </row>
        <row r="19">
          <cell r="P19">
            <v>38862</v>
          </cell>
          <cell r="Q19">
            <v>1639</v>
          </cell>
          <cell r="R19">
            <v>11078.77469419113</v>
          </cell>
          <cell r="S19">
            <v>2806</v>
          </cell>
          <cell r="T19">
            <v>52425.377103157036</v>
          </cell>
        </row>
        <row r="20">
          <cell r="P20">
            <v>38863</v>
          </cell>
          <cell r="Q20">
            <v>2706</v>
          </cell>
          <cell r="R20">
            <v>13656.324750380621</v>
          </cell>
          <cell r="S20">
            <v>5512</v>
          </cell>
          <cell r="T20">
            <v>66081.701853537656</v>
          </cell>
        </row>
        <row r="21">
          <cell r="P21">
            <v>38864</v>
          </cell>
          <cell r="Q21">
            <v>5590</v>
          </cell>
          <cell r="R21">
            <v>12927.290219795275</v>
          </cell>
          <cell r="S21">
            <v>11102</v>
          </cell>
          <cell r="T21">
            <v>79008.992073332935</v>
          </cell>
        </row>
        <row r="22">
          <cell r="P22">
            <v>38865</v>
          </cell>
          <cell r="Q22">
            <v>7710</v>
          </cell>
          <cell r="R22">
            <v>13760.065821575603</v>
          </cell>
          <cell r="S22">
            <v>18812</v>
          </cell>
          <cell r="T22">
            <v>92769.057894908532</v>
          </cell>
        </row>
        <row r="23">
          <cell r="P23">
            <v>38866</v>
          </cell>
          <cell r="Q23">
            <v>17990</v>
          </cell>
          <cell r="R23">
            <v>13819.604506204985</v>
          </cell>
          <cell r="S23">
            <v>36802</v>
          </cell>
          <cell r="T23">
            <v>106588.66240111351</v>
          </cell>
        </row>
        <row r="24">
          <cell r="P24">
            <v>38867</v>
          </cell>
          <cell r="Q24">
            <v>34122</v>
          </cell>
          <cell r="R24">
            <v>15065.061449161627</v>
          </cell>
          <cell r="S24">
            <v>70924</v>
          </cell>
          <cell r="T24">
            <v>121653.72385027514</v>
          </cell>
        </row>
        <row r="25">
          <cell r="P25">
            <v>38868</v>
          </cell>
          <cell r="Q25">
            <v>51716</v>
          </cell>
          <cell r="R25">
            <v>13239.787592599077</v>
          </cell>
          <cell r="S25">
            <v>122640</v>
          </cell>
          <cell r="T25">
            <v>134893.51144287421</v>
          </cell>
        </row>
        <row r="26">
          <cell r="P26">
            <v>38869</v>
          </cell>
          <cell r="Q26">
            <v>51138</v>
          </cell>
          <cell r="R26">
            <v>15183.158066918772</v>
          </cell>
          <cell r="S26">
            <v>173778</v>
          </cell>
          <cell r="T26">
            <v>150076.66950979299</v>
          </cell>
        </row>
        <row r="27">
          <cell r="P27">
            <v>38870</v>
          </cell>
          <cell r="Q27">
            <v>47734</v>
          </cell>
          <cell r="R27">
            <v>13732.650692426996</v>
          </cell>
          <cell r="S27">
            <v>221512</v>
          </cell>
          <cell r="T27">
            <v>163809.32020222</v>
          </cell>
        </row>
        <row r="28">
          <cell r="P28">
            <v>38871</v>
          </cell>
          <cell r="Q28">
            <v>52220</v>
          </cell>
          <cell r="R28">
            <v>13602.831453662511</v>
          </cell>
          <cell r="S28">
            <v>273732</v>
          </cell>
          <cell r="T28">
            <v>177412.15165588251</v>
          </cell>
        </row>
        <row r="29">
          <cell r="P29">
            <v>38872</v>
          </cell>
          <cell r="Q29">
            <v>34778</v>
          </cell>
          <cell r="R29">
            <v>12564.333750107951</v>
          </cell>
          <cell r="S29">
            <v>308510</v>
          </cell>
          <cell r="T29">
            <v>189976.48540599045</v>
          </cell>
        </row>
        <row r="30">
          <cell r="P30">
            <v>38873</v>
          </cell>
          <cell r="Q30">
            <v>16594</v>
          </cell>
          <cell r="R30">
            <v>13638.598361575603</v>
          </cell>
          <cell r="S30">
            <v>325104</v>
          </cell>
          <cell r="T30">
            <v>203615.08376756604</v>
          </cell>
        </row>
        <row r="31">
          <cell r="P31">
            <v>38874</v>
          </cell>
          <cell r="Q31">
            <v>19494</v>
          </cell>
          <cell r="R31">
            <v>11592.357284477843</v>
          </cell>
          <cell r="S31">
            <v>344598</v>
          </cell>
          <cell r="T31">
            <v>215207.4410520439</v>
          </cell>
        </row>
        <row r="32">
          <cell r="P32">
            <v>38875</v>
          </cell>
          <cell r="Q32">
            <v>16914</v>
          </cell>
          <cell r="R32">
            <v>12707.274271359311</v>
          </cell>
          <cell r="S32">
            <v>361512</v>
          </cell>
          <cell r="T32">
            <v>227914.71532340322</v>
          </cell>
        </row>
        <row r="33">
          <cell r="P33">
            <v>38876</v>
          </cell>
          <cell r="Q33">
            <v>14210</v>
          </cell>
          <cell r="R33">
            <v>13314.551887142492</v>
          </cell>
          <cell r="S33">
            <v>375722</v>
          </cell>
          <cell r="T33">
            <v>241229.26721054572</v>
          </cell>
        </row>
        <row r="34">
          <cell r="P34">
            <v>38877</v>
          </cell>
          <cell r="Q34">
            <v>12476</v>
          </cell>
          <cell r="R34">
            <v>11470.569971369572</v>
          </cell>
          <cell r="S34">
            <v>388198</v>
          </cell>
          <cell r="T34">
            <v>252699.8371819153</v>
          </cell>
        </row>
        <row r="35">
          <cell r="P35">
            <v>38878</v>
          </cell>
          <cell r="Q35">
            <v>16360</v>
          </cell>
          <cell r="R35">
            <v>10285.232699623784</v>
          </cell>
          <cell r="S35">
            <v>404558</v>
          </cell>
          <cell r="T35">
            <v>262985.06988153909</v>
          </cell>
        </row>
        <row r="36">
          <cell r="P36">
            <v>38879</v>
          </cell>
          <cell r="Q36">
            <v>11486</v>
          </cell>
          <cell r="R36">
            <v>9416.4204982373049</v>
          </cell>
          <cell r="S36">
            <v>416044</v>
          </cell>
          <cell r="T36">
            <v>272401.4903797764</v>
          </cell>
        </row>
        <row r="37">
          <cell r="P37">
            <v>38880</v>
          </cell>
          <cell r="Q37">
            <v>8600</v>
          </cell>
          <cell r="R37">
            <v>8340.1555379215133</v>
          </cell>
          <cell r="S37">
            <v>424644</v>
          </cell>
          <cell r="T37">
            <v>280741.64591769793</v>
          </cell>
        </row>
        <row r="38">
          <cell r="P38">
            <v>38881</v>
          </cell>
          <cell r="Q38">
            <v>11316</v>
          </cell>
          <cell r="R38">
            <v>7292.071905273182</v>
          </cell>
          <cell r="S38">
            <v>435960</v>
          </cell>
          <cell r="T38">
            <v>288033.71782297111</v>
          </cell>
        </row>
        <row r="39">
          <cell r="P39">
            <v>38882</v>
          </cell>
          <cell r="Q39">
            <v>16350</v>
          </cell>
          <cell r="R39">
            <v>7130.3110507713118</v>
          </cell>
          <cell r="S39">
            <v>452310</v>
          </cell>
          <cell r="T39">
            <v>295164.02887374244</v>
          </cell>
        </row>
        <row r="40">
          <cell r="P40">
            <v>38883</v>
          </cell>
          <cell r="Q40">
            <v>19732</v>
          </cell>
          <cell r="R40">
            <v>7560.0739266120863</v>
          </cell>
          <cell r="S40">
            <v>472042</v>
          </cell>
          <cell r="T40">
            <v>302724.10280035454</v>
          </cell>
        </row>
        <row r="41">
          <cell r="P41">
            <v>38884</v>
          </cell>
          <cell r="Q41">
            <v>10880</v>
          </cell>
          <cell r="R41">
            <v>7447.0974282060752</v>
          </cell>
          <cell r="S41">
            <v>482922</v>
          </cell>
          <cell r="T41">
            <v>310171.2002285606</v>
          </cell>
        </row>
        <row r="42">
          <cell r="P42">
            <v>38885</v>
          </cell>
          <cell r="Q42">
            <v>10088</v>
          </cell>
          <cell r="R42">
            <v>7395.4467075250232</v>
          </cell>
          <cell r="S42">
            <v>493010</v>
          </cell>
          <cell r="T42">
            <v>317566.6469360856</v>
          </cell>
        </row>
        <row r="43">
          <cell r="P43">
            <v>38886</v>
          </cell>
          <cell r="Q43">
            <v>12452</v>
          </cell>
          <cell r="R43">
            <v>7205.953167116646</v>
          </cell>
          <cell r="S43">
            <v>505462</v>
          </cell>
          <cell r="T43">
            <v>324772.60010320222</v>
          </cell>
        </row>
        <row r="44">
          <cell r="P44">
            <v>38887</v>
          </cell>
          <cell r="Q44">
            <v>17884</v>
          </cell>
          <cell r="R44">
            <v>7479.4958218562624</v>
          </cell>
          <cell r="S44">
            <v>523346</v>
          </cell>
          <cell r="T44">
            <v>332252.09592505847</v>
          </cell>
        </row>
        <row r="45">
          <cell r="P45">
            <v>38888</v>
          </cell>
          <cell r="Q45">
            <v>14728</v>
          </cell>
          <cell r="R45">
            <v>7142.212060788017</v>
          </cell>
          <cell r="S45">
            <v>538074</v>
          </cell>
          <cell r="T45">
            <v>339394.30798584648</v>
          </cell>
        </row>
        <row r="46">
          <cell r="P46">
            <v>38889</v>
          </cell>
          <cell r="Q46">
            <v>15386</v>
          </cell>
          <cell r="R46">
            <v>6967.9685863599343</v>
          </cell>
          <cell r="S46">
            <v>553460</v>
          </cell>
          <cell r="T46">
            <v>346362.27657220641</v>
          </cell>
        </row>
        <row r="47">
          <cell r="P47">
            <v>38890</v>
          </cell>
          <cell r="Q47">
            <v>15466</v>
          </cell>
          <cell r="R47">
            <v>6712.3715861804276</v>
          </cell>
          <cell r="S47">
            <v>568926</v>
          </cell>
          <cell r="T47">
            <v>353074.64815838682</v>
          </cell>
        </row>
        <row r="48">
          <cell r="P48">
            <v>38891</v>
          </cell>
          <cell r="Q48">
            <v>10428</v>
          </cell>
          <cell r="R48">
            <v>6310.671731983959</v>
          </cell>
          <cell r="S48">
            <v>579354</v>
          </cell>
          <cell r="T48">
            <v>359385.31989037077</v>
          </cell>
        </row>
        <row r="49">
          <cell r="P49">
            <v>38892</v>
          </cell>
          <cell r="Q49">
            <v>9282</v>
          </cell>
          <cell r="R49">
            <v>6314.203290445781</v>
          </cell>
          <cell r="S49">
            <v>588636</v>
          </cell>
          <cell r="T49">
            <v>365699.52318081656</v>
          </cell>
        </row>
        <row r="50">
          <cell r="P50">
            <v>38893</v>
          </cell>
          <cell r="Q50">
            <v>14206</v>
          </cell>
          <cell r="R50">
            <v>6507.9825814109408</v>
          </cell>
          <cell r="S50">
            <v>602842</v>
          </cell>
          <cell r="T50">
            <v>372207.50576222752</v>
          </cell>
        </row>
        <row r="51">
          <cell r="P51">
            <v>38894</v>
          </cell>
          <cell r="Q51">
            <v>10958</v>
          </cell>
          <cell r="R51">
            <v>7231.7507084672734</v>
          </cell>
          <cell r="S51">
            <v>613800</v>
          </cell>
          <cell r="T51">
            <v>379439.25647069479</v>
          </cell>
        </row>
        <row r="52">
          <cell r="P52">
            <v>38895</v>
          </cell>
          <cell r="Q52">
            <v>8270</v>
          </cell>
          <cell r="R52">
            <v>7380.074092988817</v>
          </cell>
          <cell r="S52">
            <v>622070</v>
          </cell>
          <cell r="T52">
            <v>386819.33056368359</v>
          </cell>
        </row>
        <row r="53">
          <cell r="P53">
            <v>38896</v>
          </cell>
          <cell r="Q53">
            <v>9622</v>
          </cell>
          <cell r="R53">
            <v>7527.9872068613922</v>
          </cell>
          <cell r="S53">
            <v>631692</v>
          </cell>
          <cell r="T53">
            <v>394347.31777054496</v>
          </cell>
        </row>
        <row r="54">
          <cell r="P54">
            <v>38897</v>
          </cell>
          <cell r="Q54">
            <v>9756</v>
          </cell>
          <cell r="R54">
            <v>7624.8050571727927</v>
          </cell>
          <cell r="S54">
            <v>641448</v>
          </cell>
          <cell r="T54">
            <v>401972.12282771774</v>
          </cell>
        </row>
        <row r="55">
          <cell r="P55">
            <v>38898</v>
          </cell>
          <cell r="Q55">
            <v>8070</v>
          </cell>
          <cell r="R55">
            <v>7049.453983760196</v>
          </cell>
          <cell r="S55">
            <v>649518</v>
          </cell>
          <cell r="T55">
            <v>409021.57681147795</v>
          </cell>
        </row>
        <row r="56">
          <cell r="P56">
            <v>38899</v>
          </cell>
          <cell r="Q56">
            <v>9568</v>
          </cell>
          <cell r="R56">
            <v>7124.3899536359022</v>
          </cell>
          <cell r="S56">
            <v>659086</v>
          </cell>
          <cell r="T56">
            <v>416145.96676511387</v>
          </cell>
        </row>
        <row r="57">
          <cell r="P57">
            <v>38900</v>
          </cell>
          <cell r="Q57">
            <v>12224</v>
          </cell>
          <cell r="R57">
            <v>6818.7865403923397</v>
          </cell>
          <cell r="S57">
            <v>671310</v>
          </cell>
          <cell r="T57">
            <v>422964.75330550619</v>
          </cell>
        </row>
        <row r="58">
          <cell r="P58">
            <v>38901</v>
          </cell>
          <cell r="Q58">
            <v>14024</v>
          </cell>
          <cell r="R58">
            <v>6823.8132225287327</v>
          </cell>
          <cell r="S58">
            <v>685334</v>
          </cell>
          <cell r="T58">
            <v>429788.56652803492</v>
          </cell>
        </row>
        <row r="59">
          <cell r="P59">
            <v>38902</v>
          </cell>
          <cell r="Q59">
            <v>10176</v>
          </cell>
          <cell r="R59">
            <v>7167.96894293067</v>
          </cell>
          <cell r="S59">
            <v>695510</v>
          </cell>
          <cell r="T59">
            <v>436956.53547096561</v>
          </cell>
        </row>
        <row r="60">
          <cell r="P60">
            <v>38903</v>
          </cell>
          <cell r="Q60">
            <v>8996</v>
          </cell>
          <cell r="R60">
            <v>7673.4998498499281</v>
          </cell>
          <cell r="S60">
            <v>704506</v>
          </cell>
          <cell r="T60">
            <v>444630.03532081551</v>
          </cell>
        </row>
        <row r="61">
          <cell r="P61">
            <v>38904</v>
          </cell>
          <cell r="Q61">
            <v>9840</v>
          </cell>
          <cell r="R61">
            <v>7888.4678467885778</v>
          </cell>
          <cell r="S61">
            <v>714346</v>
          </cell>
          <cell r="T61">
            <v>452518.5031676041</v>
          </cell>
        </row>
        <row r="62">
          <cell r="P62">
            <v>38905</v>
          </cell>
          <cell r="Q62">
            <v>6900</v>
          </cell>
          <cell r="R62">
            <v>7564.0598839058175</v>
          </cell>
          <cell r="S62">
            <v>721246</v>
          </cell>
          <cell r="T62">
            <v>460082.5630515099</v>
          </cell>
        </row>
        <row r="63">
          <cell r="P63">
            <v>38906</v>
          </cell>
          <cell r="Q63">
            <v>5620</v>
          </cell>
          <cell r="R63">
            <v>8060.5338620492212</v>
          </cell>
          <cell r="S63">
            <v>726866</v>
          </cell>
          <cell r="T63">
            <v>468143.09691355913</v>
          </cell>
        </row>
        <row r="64">
          <cell r="P64">
            <v>38907</v>
          </cell>
          <cell r="Q64">
            <v>7568</v>
          </cell>
          <cell r="R64">
            <v>8341.9758196271232</v>
          </cell>
          <cell r="S64">
            <v>734434</v>
          </cell>
          <cell r="T64">
            <v>476485.07273318624</v>
          </cell>
        </row>
        <row r="65">
          <cell r="P65">
            <v>38908</v>
          </cell>
          <cell r="Q65">
            <v>10598</v>
          </cell>
          <cell r="R65">
            <v>8047.687382856142</v>
          </cell>
          <cell r="S65">
            <v>745032</v>
          </cell>
          <cell r="T65">
            <v>484532.76011604239</v>
          </cell>
        </row>
        <row r="66">
          <cell r="P66">
            <v>38909</v>
          </cell>
          <cell r="Q66">
            <v>11410</v>
          </cell>
          <cell r="R66">
            <v>7930.0325560626216</v>
          </cell>
          <cell r="S66">
            <v>756442</v>
          </cell>
          <cell r="T66">
            <v>492462.79267210502</v>
          </cell>
        </row>
        <row r="67">
          <cell r="P67">
            <v>38910</v>
          </cell>
          <cell r="Q67">
            <v>10824</v>
          </cell>
          <cell r="R67">
            <v>9793.7635856390698</v>
          </cell>
          <cell r="S67">
            <v>767266</v>
          </cell>
          <cell r="T67">
            <v>502256.55625774409</v>
          </cell>
        </row>
        <row r="68">
          <cell r="P68">
            <v>38911</v>
          </cell>
          <cell r="Q68">
            <v>11930</v>
          </cell>
          <cell r="R68">
            <v>9241.4323375265067</v>
          </cell>
          <cell r="S68">
            <v>779196</v>
          </cell>
          <cell r="T68">
            <v>511497.98859527061</v>
          </cell>
        </row>
        <row r="69">
          <cell r="P69">
            <v>38912</v>
          </cell>
          <cell r="Q69">
            <v>10078</v>
          </cell>
          <cell r="R69">
            <v>8968.0996002536885</v>
          </cell>
          <cell r="S69">
            <v>789274</v>
          </cell>
          <cell r="T69">
            <v>520466.08819552429</v>
          </cell>
        </row>
        <row r="70">
          <cell r="P70">
            <v>38913</v>
          </cell>
          <cell r="Q70">
            <v>10508</v>
          </cell>
          <cell r="R70">
            <v>9614.099101336571</v>
          </cell>
          <cell r="S70">
            <v>799782</v>
          </cell>
          <cell r="T70">
            <v>530080.18729686085</v>
          </cell>
        </row>
        <row r="71">
          <cell r="P71">
            <v>38914</v>
          </cell>
          <cell r="Q71">
            <v>7910</v>
          </cell>
          <cell r="R71">
            <v>9016.5826951987674</v>
          </cell>
          <cell r="S71">
            <v>807692</v>
          </cell>
          <cell r="T71">
            <v>539096.76999205956</v>
          </cell>
        </row>
        <row r="72">
          <cell r="P72">
            <v>38915</v>
          </cell>
          <cell r="Q72">
            <v>9984</v>
          </cell>
          <cell r="R72">
            <v>7382.4223921024432</v>
          </cell>
          <cell r="S72">
            <v>817676</v>
          </cell>
          <cell r="T72">
            <v>546479.19238416199</v>
          </cell>
        </row>
        <row r="73">
          <cell r="P73">
            <v>38916</v>
          </cell>
          <cell r="Q73">
            <v>12926</v>
          </cell>
          <cell r="R73">
            <v>7796.7623073230452</v>
          </cell>
          <cell r="S73">
            <v>830602</v>
          </cell>
          <cell r="T73">
            <v>554275.95469148504</v>
          </cell>
        </row>
        <row r="74">
          <cell r="P74">
            <v>38917</v>
          </cell>
          <cell r="Q74">
            <v>12484</v>
          </cell>
          <cell r="R74">
            <v>7154.0854279899158</v>
          </cell>
          <cell r="S74">
            <v>843086</v>
          </cell>
          <cell r="T74">
            <v>561430.04011947499</v>
          </cell>
        </row>
        <row r="75">
          <cell r="P75">
            <v>38918</v>
          </cell>
          <cell r="Q75">
            <v>13480</v>
          </cell>
          <cell r="R75">
            <v>6496.9912946356417</v>
          </cell>
          <cell r="S75">
            <v>856566</v>
          </cell>
          <cell r="T75">
            <v>567927.03141411068</v>
          </cell>
        </row>
        <row r="76">
          <cell r="P76">
            <v>38919</v>
          </cell>
          <cell r="Q76">
            <v>10090</v>
          </cell>
          <cell r="R76">
            <v>6286.2883093118062</v>
          </cell>
          <cell r="S76">
            <v>866656</v>
          </cell>
          <cell r="T76">
            <v>574213.31972342252</v>
          </cell>
        </row>
        <row r="77">
          <cell r="P77">
            <v>38920</v>
          </cell>
          <cell r="Q77">
            <v>7926</v>
          </cell>
          <cell r="R77">
            <v>6014.4854766123972</v>
          </cell>
          <cell r="S77">
            <v>874582</v>
          </cell>
          <cell r="T77">
            <v>580227.80520003487</v>
          </cell>
        </row>
        <row r="78">
          <cell r="P78">
            <v>38921</v>
          </cell>
          <cell r="Q78">
            <v>8564</v>
          </cell>
          <cell r="R78">
            <v>5114.2722707234216</v>
          </cell>
          <cell r="S78">
            <v>883146</v>
          </cell>
          <cell r="T78">
            <v>585342.07747075835</v>
          </cell>
        </row>
        <row r="79">
          <cell r="P79">
            <v>38922</v>
          </cell>
          <cell r="Q79">
            <v>11930</v>
          </cell>
          <cell r="R79">
            <v>5281.5441793529117</v>
          </cell>
          <cell r="S79">
            <v>895076</v>
          </cell>
          <cell r="T79">
            <v>590623.62165011128</v>
          </cell>
        </row>
        <row r="80">
          <cell r="P80">
            <v>38923</v>
          </cell>
          <cell r="Q80">
            <v>10002</v>
          </cell>
          <cell r="R80">
            <v>4777.4094936044112</v>
          </cell>
          <cell r="S80">
            <v>905078</v>
          </cell>
          <cell r="T80">
            <v>595401.03114371572</v>
          </cell>
        </row>
        <row r="81">
          <cell r="P81">
            <v>38924</v>
          </cell>
          <cell r="Q81">
            <v>7846</v>
          </cell>
          <cell r="R81">
            <v>4451.1940226120651</v>
          </cell>
          <cell r="S81">
            <v>912924</v>
          </cell>
          <cell r="T81">
            <v>599852.22516632779</v>
          </cell>
        </row>
        <row r="82">
          <cell r="P82">
            <v>38925</v>
          </cell>
          <cell r="Q82">
            <v>6934</v>
          </cell>
          <cell r="R82">
            <v>4122.925665633903</v>
          </cell>
          <cell r="S82">
            <v>919858</v>
          </cell>
          <cell r="T82">
            <v>603975.15083196166</v>
          </cell>
        </row>
        <row r="83">
          <cell r="P83">
            <v>38926</v>
          </cell>
          <cell r="Q83">
            <v>9958</v>
          </cell>
          <cell r="R83">
            <v>3843.9506773349467</v>
          </cell>
          <cell r="S83">
            <v>929816</v>
          </cell>
          <cell r="T83">
            <v>607819.10150929657</v>
          </cell>
        </row>
        <row r="84">
          <cell r="P84">
            <v>38927</v>
          </cell>
          <cell r="Q84">
            <v>12494</v>
          </cell>
          <cell r="R84">
            <v>3098.7677482513423</v>
          </cell>
          <cell r="S84">
            <v>942310</v>
          </cell>
          <cell r="T84">
            <v>610917.86925754789</v>
          </cell>
        </row>
        <row r="85">
          <cell r="P85">
            <v>38928</v>
          </cell>
          <cell r="Q85">
            <v>9962</v>
          </cell>
          <cell r="R85">
            <v>2750.0817766108607</v>
          </cell>
          <cell r="S85">
            <v>952272</v>
          </cell>
          <cell r="T85">
            <v>613667.9510341587</v>
          </cell>
        </row>
        <row r="86">
          <cell r="Q86">
            <v>7434</v>
          </cell>
          <cell r="S86">
            <v>959706</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geComp"/>
      <sheetName val="AgeErrors"/>
      <sheetName val="Mean_WT"/>
      <sheetName val="LenAtAge"/>
      <sheetName val="MeanLeng"/>
      <sheetName val="Data"/>
      <sheetName val="Overlay"/>
    </sheetNames>
    <sheetDataSet>
      <sheetData sheetId="0"/>
      <sheetData sheetId="1"/>
      <sheetData sheetId="2"/>
      <sheetData sheetId="3"/>
      <sheetData sheetId="4"/>
      <sheetData sheetId="5"/>
      <sheetData sheetId="6">
        <row r="11">
          <cell r="J11">
            <v>9852</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geComp"/>
      <sheetName val="AgeErrors"/>
      <sheetName val="Mean_WT"/>
      <sheetName val="LenAtAge"/>
      <sheetName val="MeanLeng"/>
      <sheetName val="Data"/>
      <sheetName val="Overlay"/>
    </sheetNames>
    <sheetDataSet>
      <sheetData sheetId="0"/>
      <sheetData sheetId="1"/>
      <sheetData sheetId="2"/>
      <sheetData sheetId="3"/>
      <sheetData sheetId="4"/>
      <sheetData sheetId="5"/>
      <sheetData sheetId="6">
        <row r="11">
          <cell r="J11">
            <v>9852</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Models"/>
      <sheetName val="Uncertainty"/>
      <sheetName val="Rank data"/>
      <sheetName val="Forecast by Age"/>
      <sheetName val="Average BY Return"/>
      <sheetName val="Fcst Sumry"/>
      <sheetName val="Performance"/>
      <sheetName val="Run by Year"/>
      <sheetName val="Age1.2"/>
      <sheetName val="Age1.3"/>
      <sheetName val="Charts"/>
      <sheetName val="Brd Link"/>
      <sheetName val="Brd Tbl"/>
      <sheetName val="ln03xln11"/>
      <sheetName val="ln03xln02"/>
      <sheetName val="ln12rpsxBYE"/>
      <sheetName val="ln12xln11"/>
      <sheetName val="13=BYE"/>
      <sheetName val="ln13rpsxBYE"/>
      <sheetName val="ln13xln12"/>
      <sheetName val="ln13xln03"/>
      <sheetName val="13 x 12"/>
      <sheetName val="ln22xBYE"/>
      <sheetName val="ln22xln12"/>
      <sheetName val="ln23xln22"/>
      <sheetName val="ln23xln13"/>
      <sheetName val="RegOut"/>
      <sheetName val="ttab"/>
    </sheetNames>
    <sheetDataSet>
      <sheetData sheetId="0"/>
      <sheetData sheetId="1"/>
      <sheetData sheetId="2"/>
      <sheetData sheetId="3">
        <row r="35">
          <cell r="R35">
            <v>56660.620640057692</v>
          </cell>
        </row>
      </sheetData>
      <sheetData sheetId="4"/>
      <sheetData sheetId="5"/>
      <sheetData sheetId="6">
        <row r="45">
          <cell r="G45">
            <v>401184.40477216581</v>
          </cell>
        </row>
        <row r="51">
          <cell r="G51">
            <v>1840046.7602663343</v>
          </cell>
        </row>
      </sheetData>
      <sheetData sheetId="7"/>
      <sheetData sheetId="8"/>
      <sheetData sheetId="9"/>
      <sheetData sheetId="10"/>
      <sheetData sheetId="11"/>
      <sheetData sheetId="12"/>
      <sheetData sheetId="13"/>
      <sheetData sheetId="14"/>
      <sheetData sheetId="15"/>
      <sheetData sheetId="16">
        <row r="1">
          <cell r="G1" t="str">
            <v>Model = Predict log returns per spawner aged 1.2 (ln(R_x001E_d1.2_x001F_/S) from brood year escapement (S)</v>
          </cell>
        </row>
      </sheetData>
      <sheetData sheetId="17">
        <row r="1">
          <cell r="G1" t="str">
            <v>Model = Predict log returns aged 1.2 (ln(R_x001E_d1.2_x001F_)) from log returns aged 1.1 (ln(R_x001E_d1.1_x001F_)).</v>
          </cell>
        </row>
      </sheetData>
      <sheetData sheetId="18">
        <row r="1">
          <cell r="G1" t="str">
            <v>Model = Predict untransformed 1.3s from brood year escapement (S)</v>
          </cell>
        </row>
      </sheetData>
      <sheetData sheetId="19">
        <row r="1">
          <cell r="G1" t="str">
            <v>Model = Predict log returns per spawner aged 1.2 (ln(R_x001E_d1.2_x001F_/S) from brood year escapement (S)</v>
          </cell>
        </row>
      </sheetData>
      <sheetData sheetId="20">
        <row r="1">
          <cell r="G1" t="str">
            <v>Model = Predict log returns aged 1.3 (ln(R_x001E_d1.3_x001F_)) from log returns aged 1.2 (ln(R_x001E_d1.2_x001F_)).</v>
          </cell>
        </row>
      </sheetData>
      <sheetData sheetId="21">
        <row r="1">
          <cell r="G1" t="str">
            <v>Model = Predict log returns aged 1.3 (ln(R_x001E_d1.3_x001F_)) from log returns aged 1.2 (ln(R_x001E_d1.2_x001F_)).</v>
          </cell>
        </row>
      </sheetData>
      <sheetData sheetId="22">
        <row r="1">
          <cell r="G1" t="str">
            <v>Model = Predict log returns aged 1.3 (ln(R_x001E_d1.3_x001F_)) from log returns aged 1.2 (ln(R_x001E_d1.2_x001F_)).</v>
          </cell>
        </row>
      </sheetData>
      <sheetData sheetId="23">
        <row r="1">
          <cell r="G1" t="str">
            <v>Model = Predict log returns aged 2.2 (ln(R_x001E_d2.2_x001F_) from log brood year escapement ln(BYE)</v>
          </cell>
        </row>
      </sheetData>
      <sheetData sheetId="24">
        <row r="1">
          <cell r="G1" t="str">
            <v>Model = Predict log returns aged 2.2 (ln(R_x001E_d2.2_x001F_)) from log returns aged 1.2 (ln(R_x001E_d1.2_x001F_)).</v>
          </cell>
        </row>
      </sheetData>
      <sheetData sheetId="25">
        <row r="1">
          <cell r="G1" t="str">
            <v>Model = Predict log returns aged 2.3 (ln(R_x001E_d2.3_x001F_)) from log returns aged 2.2 (ln(R_x001E_d2.2_x001F_)).</v>
          </cell>
        </row>
      </sheetData>
      <sheetData sheetId="26">
        <row r="1">
          <cell r="G1" t="str">
            <v>Model = Predict log returns aged 2.3 (ln(R_x001E_d2.3_x001F_)) from log returns aged 2.2 (ln(R_x001E_d2.2_x001F_)).</v>
          </cell>
        </row>
      </sheetData>
      <sheetData sheetId="27"/>
      <sheetData sheetId="2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geComp"/>
      <sheetName val="AgeErrors"/>
      <sheetName val="Mean_WT"/>
      <sheetName val="LenAtAge"/>
      <sheetName val="MeanLeng"/>
      <sheetName val="Data"/>
      <sheetName val="Overlay"/>
    </sheetNames>
    <sheetDataSet>
      <sheetData sheetId="0"/>
      <sheetData sheetId="1"/>
      <sheetData sheetId="2"/>
      <sheetData sheetId="3"/>
      <sheetData sheetId="4"/>
      <sheetData sheetId="5"/>
      <sheetData sheetId="6">
        <row r="11">
          <cell r="D11">
            <v>38488</v>
          </cell>
          <cell r="G11">
            <v>38489</v>
          </cell>
        </row>
        <row r="19">
          <cell r="F19">
            <v>38640</v>
          </cell>
          <cell r="I19">
            <v>38559</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eck these items"/>
      <sheetName val="notes"/>
      <sheetName val="BY Total Return"/>
      <sheetName val="Total_run_Size"/>
      <sheetName val="Comm Catch"/>
      <sheetName val="Subs PU"/>
      <sheetName val="UCR Past Sonar"/>
      <sheetName val="UCR Spwn Esc"/>
      <sheetName val="Hatchery Returns"/>
      <sheetName val="Delta Esc"/>
      <sheetName val="BY Run"/>
      <sheetName val="BY Return"/>
      <sheetName val="Sib Grfs"/>
      <sheetName val="Ret per Spwnr"/>
      <sheetName val="Yield per S"/>
      <sheetName val="Graphs"/>
      <sheetName val="Long Lk"/>
    </sheetNames>
    <sheetDataSet>
      <sheetData sheetId="0" refreshError="1"/>
      <sheetData sheetId="1" refreshError="1"/>
      <sheetData sheetId="2" refreshError="1"/>
      <sheetData sheetId="3" refreshError="1"/>
      <sheetData sheetId="4">
        <row r="51">
          <cell r="B51">
            <v>2002</v>
          </cell>
          <cell r="C51">
            <v>0</v>
          </cell>
          <cell r="D51">
            <v>2633.2200495772186</v>
          </cell>
          <cell r="E51">
            <v>166.00186567164178</v>
          </cell>
          <cell r="F51">
            <v>44272.309517251902</v>
          </cell>
          <cell r="G51">
            <v>166245.31249079239</v>
          </cell>
          <cell r="H51">
            <v>0</v>
          </cell>
          <cell r="I51">
            <v>2302.7700988526085</v>
          </cell>
          <cell r="J51">
            <v>949692.65217548376</v>
          </cell>
          <cell r="K51">
            <v>8103.4013966544617</v>
          </cell>
          <cell r="L51">
            <v>9704.4050135936686</v>
          </cell>
          <cell r="M51">
            <v>64664.434718129778</v>
          </cell>
          <cell r="N51">
            <v>0</v>
          </cell>
          <cell r="O51">
            <v>0</v>
          </cell>
          <cell r="P51">
            <v>718.49267399267376</v>
          </cell>
          <cell r="Q51">
            <v>0</v>
          </cell>
          <cell r="R51">
            <v>1248503</v>
          </cell>
          <cell r="T51">
            <v>2002</v>
          </cell>
          <cell r="U51">
            <v>0</v>
          </cell>
          <cell r="V51">
            <v>0.21091019000973313</v>
          </cell>
          <cell r="W51">
            <v>1.3296072630313406E-2</v>
          </cell>
          <cell r="X51">
            <v>3.5460314886910087</v>
          </cell>
          <cell r="Y51">
            <v>13.315571727964803</v>
          </cell>
          <cell r="Z51">
            <v>0</v>
          </cell>
          <cell r="AA51">
            <v>0.18444249624170775</v>
          </cell>
          <cell r="AB51">
            <v>76.066509425726949</v>
          </cell>
          <cell r="AC51">
            <v>0.64904941330973664</v>
          </cell>
          <cell r="AD51">
            <v>0.77728327553827814</v>
          </cell>
          <cell r="AE51">
            <v>5.1793575760834996</v>
          </cell>
          <cell r="AF51">
            <v>0</v>
          </cell>
          <cell r="AG51">
            <v>0</v>
          </cell>
          <cell r="AH51">
            <v>5.7548333803977551E-2</v>
          </cell>
          <cell r="AI51">
            <v>0</v>
          </cell>
          <cell r="AJ51">
            <v>100.00000000000001</v>
          </cell>
        </row>
        <row r="52">
          <cell r="B52">
            <v>2003</v>
          </cell>
          <cell r="C52">
            <v>0</v>
          </cell>
          <cell r="D52">
            <v>7399.3769315745276</v>
          </cell>
          <cell r="E52">
            <v>1752.1858427141387</v>
          </cell>
          <cell r="F52">
            <v>53859.299918412558</v>
          </cell>
          <cell r="G52">
            <v>137990.75265434466</v>
          </cell>
          <cell r="H52">
            <v>0</v>
          </cell>
          <cell r="I52">
            <v>623.42472475566001</v>
          </cell>
          <cell r="J52">
            <v>947845.88401127863</v>
          </cell>
          <cell r="K52">
            <v>6426.7774837963798</v>
          </cell>
          <cell r="L52">
            <v>3322.3156862006003</v>
          </cell>
          <cell r="M52">
            <v>28359.678159766783</v>
          </cell>
          <cell r="N52">
            <v>0</v>
          </cell>
          <cell r="O52">
            <v>0</v>
          </cell>
          <cell r="P52">
            <v>356.3045871559633</v>
          </cell>
          <cell r="Q52">
            <v>0</v>
          </cell>
          <cell r="R52">
            <v>1187936</v>
          </cell>
          <cell r="T52">
            <v>2003</v>
          </cell>
          <cell r="U52">
            <v>0</v>
          </cell>
          <cell r="V52">
            <v>0.62287673170730806</v>
          </cell>
          <cell r="W52">
            <v>0.14749833683920169</v>
          </cell>
          <cell r="X52">
            <v>4.533855352343271</v>
          </cell>
          <cell r="Y52">
            <v>11.616008998325219</v>
          </cell>
          <cell r="Z52">
            <v>0</v>
          </cell>
          <cell r="AA52">
            <v>5.2479655869984584E-2</v>
          </cell>
          <cell r="AB52">
            <v>79.789305485419973</v>
          </cell>
          <cell r="AC52">
            <v>0.54100368065252502</v>
          </cell>
          <cell r="AD52">
            <v>0.27967126900780853</v>
          </cell>
          <cell r="AE52">
            <v>2.3873069054028822</v>
          </cell>
          <cell r="AF52">
            <v>0</v>
          </cell>
          <cell r="AG52">
            <v>0</v>
          </cell>
          <cell r="AH52">
            <v>2.9993584431818154E-2</v>
          </cell>
          <cell r="AI52">
            <v>0</v>
          </cell>
          <cell r="AJ52">
            <v>99.999999999999986</v>
          </cell>
        </row>
        <row r="53">
          <cell r="B53">
            <v>2004</v>
          </cell>
          <cell r="C53">
            <v>0</v>
          </cell>
          <cell r="D53">
            <v>5709.9295985850531</v>
          </cell>
          <cell r="E53">
            <v>77.293995859213254</v>
          </cell>
          <cell r="F53">
            <v>83836.445325978741</v>
          </cell>
          <cell r="G53">
            <v>269349.93060805858</v>
          </cell>
          <cell r="H53">
            <v>0</v>
          </cell>
          <cell r="I53">
            <v>1438.8321209757369</v>
          </cell>
          <cell r="J53">
            <v>622673.3820570712</v>
          </cell>
          <cell r="K53">
            <v>20404.215270113244</v>
          </cell>
          <cell r="L53">
            <v>4206.3103080510327</v>
          </cell>
          <cell r="M53">
            <v>40307.660715306978</v>
          </cell>
          <cell r="N53">
            <v>0</v>
          </cell>
          <cell r="O53">
            <v>0</v>
          </cell>
          <cell r="P53">
            <v>0</v>
          </cell>
          <cell r="Q53">
            <v>0</v>
          </cell>
          <cell r="R53">
            <v>1048004</v>
          </cell>
          <cell r="T53">
            <v>2004</v>
          </cell>
          <cell r="U53">
            <v>0</v>
          </cell>
          <cell r="V53">
            <v>0.54483853101563096</v>
          </cell>
          <cell r="W53">
            <v>7.3753531340732719E-3</v>
          </cell>
          <cell r="X53">
            <v>7.9996302806075867</v>
          </cell>
          <cell r="Y53">
            <v>25.701231160192005</v>
          </cell>
          <cell r="Z53">
            <v>0</v>
          </cell>
          <cell r="AA53">
            <v>0.13729261729685543</v>
          </cell>
          <cell r="AB53">
            <v>59.415172275780556</v>
          </cell>
          <cell r="AC53">
            <v>1.9469596747830393</v>
          </cell>
          <cell r="AD53">
            <v>0.40136395548595544</v>
          </cell>
          <cell r="AE53">
            <v>3.8461361517042851</v>
          </cell>
          <cell r="AF53">
            <v>0</v>
          </cell>
          <cell r="AG53">
            <v>0</v>
          </cell>
          <cell r="AH53">
            <v>0</v>
          </cell>
          <cell r="AI53">
            <v>0</v>
          </cell>
          <cell r="AJ53">
            <v>100</v>
          </cell>
        </row>
        <row r="54">
          <cell r="B54">
            <v>2005</v>
          </cell>
          <cell r="C54">
            <v>0</v>
          </cell>
          <cell r="D54">
            <v>9896.9039175259022</v>
          </cell>
          <cell r="E54">
            <v>1618.5645843519312</v>
          </cell>
          <cell r="F54">
            <v>122359.68810824319</v>
          </cell>
          <cell r="G54">
            <v>165634.98429444901</v>
          </cell>
          <cell r="H54">
            <v>0</v>
          </cell>
          <cell r="I54">
            <v>717.24391583720717</v>
          </cell>
          <cell r="J54">
            <v>974230.85212878173</v>
          </cell>
          <cell r="K54">
            <v>17525.639563045937</v>
          </cell>
          <cell r="L54">
            <v>2682.6690260024898</v>
          </cell>
          <cell r="M54">
            <v>36775.321122247056</v>
          </cell>
          <cell r="N54">
            <v>0</v>
          </cell>
          <cell r="O54">
            <v>222.13333951567571</v>
          </cell>
          <cell r="P54">
            <v>0</v>
          </cell>
          <cell r="Q54">
            <v>0</v>
          </cell>
          <cell r="R54">
            <v>1331664</v>
          </cell>
          <cell r="T54">
            <v>2005</v>
          </cell>
          <cell r="V54">
            <v>0.74319827805857197</v>
          </cell>
          <cell r="W54">
            <v>0.12154451756238294</v>
          </cell>
          <cell r="X54">
            <v>9.1884805858116767</v>
          </cell>
          <cell r="Y54">
            <v>12.438196444031602</v>
          </cell>
          <cell r="AA54">
            <v>5.3860727318393163E-2</v>
          </cell>
          <cell r="AB54">
            <v>73.158908863555794</v>
          </cell>
          <cell r="AC54">
            <v>1.3160706877294825</v>
          </cell>
          <cell r="AD54">
            <v>0.20145239534916387</v>
          </cell>
          <cell r="AE54">
            <v>2.761606615651325</v>
          </cell>
          <cell r="AG54">
            <v>1.6680884931610056E-2</v>
          </cell>
          <cell r="AJ54">
            <v>100.00000000000001</v>
          </cell>
        </row>
        <row r="55">
          <cell r="B55">
            <v>2006</v>
          </cell>
          <cell r="C55">
            <v>307.8914027149321</v>
          </cell>
          <cell r="D55">
            <v>7670.4762586689858</v>
          </cell>
          <cell r="E55">
            <v>307.8914027149321</v>
          </cell>
          <cell r="F55">
            <v>49974.932773126748</v>
          </cell>
          <cell r="G55">
            <v>243074.62707437374</v>
          </cell>
          <cell r="H55">
            <v>0</v>
          </cell>
          <cell r="I55">
            <v>701.82371494109054</v>
          </cell>
          <cell r="J55">
            <v>1104840.3600204922</v>
          </cell>
          <cell r="K55">
            <v>21507.014372392638</v>
          </cell>
          <cell r="L55">
            <v>8457.3112692905197</v>
          </cell>
          <cell r="M55">
            <v>59911.671711284405</v>
          </cell>
          <cell r="N55">
            <v>0</v>
          </cell>
          <cell r="O55">
            <v>0</v>
          </cell>
          <cell r="P55">
            <v>0</v>
          </cell>
          <cell r="Q55">
            <v>0</v>
          </cell>
          <cell r="R55">
            <v>1496754</v>
          </cell>
          <cell r="T55">
            <v>2006</v>
          </cell>
          <cell r="U55">
            <v>2.0570608310713192E-2</v>
          </cell>
          <cell r="V55">
            <v>0.51247407781565879</v>
          </cell>
          <cell r="W55">
            <v>2.0570608310713192E-2</v>
          </cell>
          <cell r="X55">
            <v>3.3388875375062801</v>
          </cell>
          <cell r="Y55">
            <v>16.240118755278004</v>
          </cell>
          <cell r="AA55">
            <v>4.6889717010349774E-2</v>
          </cell>
          <cell r="AB55">
            <v>73.815761308838475</v>
          </cell>
          <cell r="AC55">
            <v>1.4369104323350823</v>
          </cell>
          <cell r="AD55">
            <v>0.56504350543178905</v>
          </cell>
          <cell r="AE55">
            <v>4.002773449162949</v>
          </cell>
          <cell r="AJ55">
            <v>100.00000000000001</v>
          </cell>
        </row>
        <row r="56">
          <cell r="B56">
            <v>2007</v>
          </cell>
          <cell r="C56">
            <v>0</v>
          </cell>
          <cell r="D56">
            <v>0</v>
          </cell>
          <cell r="E56">
            <v>0</v>
          </cell>
          <cell r="F56">
            <v>47548.644806416218</v>
          </cell>
          <cell r="G56">
            <v>93118.499079187066</v>
          </cell>
          <cell r="H56">
            <v>0</v>
          </cell>
          <cell r="I56">
            <v>0</v>
          </cell>
          <cell r="J56">
            <v>1578207.4763089507</v>
          </cell>
          <cell r="K56">
            <v>9192.7242240119594</v>
          </cell>
          <cell r="L56">
            <v>9334.8204455368759</v>
          </cell>
          <cell r="M56">
            <v>162007.21751827447</v>
          </cell>
          <cell r="N56">
            <v>0</v>
          </cell>
          <cell r="O56">
            <v>2363.617617622539</v>
          </cell>
          <cell r="P56">
            <v>2363.617617622539</v>
          </cell>
          <cell r="Q56">
            <v>0</v>
          </cell>
          <cell r="R56">
            <v>1901773</v>
          </cell>
          <cell r="T56">
            <v>2007</v>
          </cell>
          <cell r="X56">
            <v>2.5002271462690984</v>
          </cell>
          <cell r="Y56">
            <v>4.8964045172156228</v>
          </cell>
          <cell r="AB56">
            <v>82.986112238892375</v>
          </cell>
          <cell r="AC56">
            <v>0.48337652411786053</v>
          </cell>
          <cell r="AD56">
            <v>0.49084830027226573</v>
          </cell>
          <cell r="AE56">
            <v>8.518746323471543</v>
          </cell>
          <cell r="AH56">
            <v>0.12428494976122485</v>
          </cell>
          <cell r="AJ56">
            <v>99.999999999999986</v>
          </cell>
        </row>
        <row r="57">
          <cell r="B57">
            <v>2008</v>
          </cell>
          <cell r="C57">
            <v>0</v>
          </cell>
          <cell r="D57">
            <v>997.73464999999999</v>
          </cell>
          <cell r="E57">
            <v>0</v>
          </cell>
          <cell r="F57">
            <v>11584.629650000001</v>
          </cell>
          <cell r="G57">
            <v>26473.653800000004</v>
          </cell>
          <cell r="H57">
            <v>0</v>
          </cell>
          <cell r="I57">
            <v>343.27205000000004</v>
          </cell>
          <cell r="J57">
            <v>247072.46410000001</v>
          </cell>
          <cell r="K57">
            <v>3673.3317499999998</v>
          </cell>
          <cell r="L57">
            <v>3429.51235</v>
          </cell>
          <cell r="M57">
            <v>27195.487549999998</v>
          </cell>
          <cell r="N57">
            <v>0</v>
          </cell>
          <cell r="O57">
            <v>41.705950000000001</v>
          </cell>
          <cell r="P57">
            <v>41.705950000000001</v>
          </cell>
          <cell r="Q57">
            <v>0</v>
          </cell>
          <cell r="R57">
            <v>320815</v>
          </cell>
          <cell r="T57">
            <v>2008</v>
          </cell>
          <cell r="U57">
            <v>0</v>
          </cell>
          <cell r="V57">
            <v>0.311</v>
          </cell>
          <cell r="W57">
            <v>0</v>
          </cell>
          <cell r="X57">
            <v>3.6110000000000002</v>
          </cell>
          <cell r="Y57">
            <v>8.2520000000000007</v>
          </cell>
          <cell r="Z57">
            <v>0</v>
          </cell>
          <cell r="AA57">
            <v>0.107</v>
          </cell>
          <cell r="AB57">
            <v>77.013999999999996</v>
          </cell>
          <cell r="AC57">
            <v>1.145</v>
          </cell>
          <cell r="AD57">
            <v>1.069</v>
          </cell>
          <cell r="AE57">
            <v>8.4770000000000003</v>
          </cell>
          <cell r="AF57">
            <v>0</v>
          </cell>
          <cell r="AG57">
            <v>0</v>
          </cell>
          <cell r="AH57">
            <v>1.2999999999999999E-2</v>
          </cell>
          <cell r="AI57">
            <v>0</v>
          </cell>
          <cell r="AJ57">
            <v>99.999000000000009</v>
          </cell>
        </row>
        <row r="58">
          <cell r="B58">
            <v>2009</v>
          </cell>
          <cell r="C58">
            <v>0</v>
          </cell>
          <cell r="D58">
            <v>1083.673688462922</v>
          </cell>
          <cell r="E58">
            <v>0</v>
          </cell>
          <cell r="F58">
            <v>39712.584595239205</v>
          </cell>
          <cell r="G58">
            <v>155293.42984620508</v>
          </cell>
          <cell r="H58">
            <v>115.65618860510806</v>
          </cell>
          <cell r="I58">
            <v>230.71789883268485</v>
          </cell>
          <cell r="J58">
            <v>611107.21594072063</v>
          </cell>
          <cell r="K58">
            <v>10736.345147734144</v>
          </cell>
          <cell r="L58">
            <v>3762.0387231428576</v>
          </cell>
          <cell r="M58">
            <v>74427.337971057466</v>
          </cell>
          <cell r="N58">
            <v>0</v>
          </cell>
          <cell r="O58">
            <v>0</v>
          </cell>
          <cell r="P58">
            <v>0</v>
          </cell>
          <cell r="Q58">
            <v>0</v>
          </cell>
          <cell r="R58">
            <v>896469</v>
          </cell>
          <cell r="T58">
            <v>2009</v>
          </cell>
          <cell r="V58">
            <v>0.12088244975151645</v>
          </cell>
          <cell r="X58">
            <v>4.4298893319500401</v>
          </cell>
          <cell r="Y58">
            <v>17.322788612456769</v>
          </cell>
          <cell r="Z58">
            <v>1.2901303737787704E-2</v>
          </cell>
          <cell r="AA58">
            <v>2.5736294153248448E-2</v>
          </cell>
          <cell r="AB58">
            <v>68.168248532935394</v>
          </cell>
          <cell r="AC58">
            <v>1.1976259243469818</v>
          </cell>
          <cell r="AD58">
            <v>0.41965073227773159</v>
          </cell>
          <cell r="AE58">
            <v>8.3022768183905367</v>
          </cell>
          <cell r="AJ58">
            <v>100</v>
          </cell>
        </row>
        <row r="60">
          <cell r="B60" t="str">
            <v>Totals</v>
          </cell>
          <cell r="C60">
            <v>1878.5955260071905</v>
          </cell>
          <cell r="D60">
            <v>166276.60655800754</v>
          </cell>
          <cell r="E60">
            <v>20846.820361762879</v>
          </cell>
          <cell r="F60">
            <v>2757219.2343444792</v>
          </cell>
          <cell r="G60">
            <v>5665677.9714938933</v>
          </cell>
          <cell r="H60">
            <v>5449.5881037879662</v>
          </cell>
          <cell r="I60">
            <v>38076.471387378202</v>
          </cell>
          <cell r="J60">
            <v>31299609.866083868</v>
          </cell>
          <cell r="K60">
            <v>469829.8703066663</v>
          </cell>
          <cell r="L60">
            <v>186250.7687120334</v>
          </cell>
          <cell r="M60">
            <v>3027061.8277415987</v>
          </cell>
          <cell r="N60">
            <v>1570.8187156542845</v>
          </cell>
          <cell r="O60">
            <v>3426.4037937513845</v>
          </cell>
          <cell r="P60">
            <v>11882.97778326166</v>
          </cell>
          <cell r="Q60">
            <v>3817.2945054686975</v>
          </cell>
          <cell r="R60">
            <v>43656473</v>
          </cell>
          <cell r="T60" t="str">
            <v>Mean</v>
          </cell>
          <cell r="U60">
            <v>4.3031316936830667E-3</v>
          </cell>
          <cell r="V60">
            <v>0.38087503440327747</v>
          </cell>
          <cell r="W60">
            <v>4.7751957336917436E-2</v>
          </cell>
          <cell r="X60">
            <v>6.3157168797041381</v>
          </cell>
          <cell r="Y60">
            <v>12.97786463760802</v>
          </cell>
          <cell r="Z60">
            <v>1.2482886796164147E-2</v>
          </cell>
          <cell r="AA60">
            <v>8.7218386577812182E-2</v>
          </cell>
          <cell r="AB60">
            <v>71.695232608653171</v>
          </cell>
          <cell r="AC60">
            <v>1.0761974983793727</v>
          </cell>
          <cell r="AD60">
            <v>0.42662807119584167</v>
          </cell>
          <cell r="AE60">
            <v>6.9338213092514343</v>
          </cell>
          <cell r="AF60">
            <v>3.5981347271326395E-3</v>
          </cell>
          <cell r="AG60">
            <v>7.8485584342816335E-3</v>
          </cell>
          <cell r="AH60">
            <v>2.721928036481935E-2</v>
          </cell>
          <cell r="AI60">
            <v>8.7439370227381814E-3</v>
          </cell>
        </row>
        <row r="62">
          <cell r="A62" t="str">
            <v>Average</v>
          </cell>
          <cell r="C62">
            <v>41.746567244604236</v>
          </cell>
          <cell r="D62">
            <v>3695.0357012890563</v>
          </cell>
          <cell r="E62">
            <v>463.26267470584173</v>
          </cell>
          <cell r="F62">
            <v>61271.538540988426</v>
          </cell>
          <cell r="G62">
            <v>125903.95492208652</v>
          </cell>
          <cell r="H62">
            <v>121.1019578619548</v>
          </cell>
          <cell r="I62">
            <v>846.14380860840447</v>
          </cell>
          <cell r="J62">
            <v>695546.88591297483</v>
          </cell>
          <cell r="K62">
            <v>10440.663784592585</v>
          </cell>
          <cell r="L62">
            <v>4138.90597137852</v>
          </cell>
          <cell r="M62">
            <v>67268.040616479964</v>
          </cell>
          <cell r="N62">
            <v>34.907082570095213</v>
          </cell>
          <cell r="O62">
            <v>76.142306527808543</v>
          </cell>
          <cell r="P62">
            <v>264.06617296137023</v>
          </cell>
          <cell r="Q62">
            <v>84.828766788193278</v>
          </cell>
          <cell r="R62">
            <v>937487.73469387752</v>
          </cell>
        </row>
        <row r="63">
          <cell r="A63" t="str">
            <v>Minimum</v>
          </cell>
          <cell r="C63">
            <v>0</v>
          </cell>
          <cell r="D63">
            <v>0</v>
          </cell>
          <cell r="E63">
            <v>0</v>
          </cell>
          <cell r="F63">
            <v>0</v>
          </cell>
          <cell r="G63">
            <v>4939.8355213193026</v>
          </cell>
          <cell r="H63">
            <v>0</v>
          </cell>
          <cell r="I63">
            <v>0</v>
          </cell>
          <cell r="J63">
            <v>11734.160789844849</v>
          </cell>
          <cell r="K63">
            <v>851.34208527720443</v>
          </cell>
          <cell r="L63">
            <v>0</v>
          </cell>
          <cell r="M63">
            <v>487.13781210587246</v>
          </cell>
          <cell r="N63">
            <v>0</v>
          </cell>
          <cell r="O63">
            <v>0</v>
          </cell>
          <cell r="P63">
            <v>0</v>
          </cell>
          <cell r="Q63">
            <v>0</v>
          </cell>
          <cell r="R63">
            <v>18908</v>
          </cell>
          <cell r="U63">
            <v>0</v>
          </cell>
          <cell r="V63">
            <v>0</v>
          </cell>
          <cell r="W63">
            <v>0</v>
          </cell>
          <cell r="X63">
            <v>0</v>
          </cell>
          <cell r="Y63">
            <v>3.0163685180991799</v>
          </cell>
          <cell r="Z63">
            <v>0</v>
          </cell>
          <cell r="AA63">
            <v>0</v>
          </cell>
          <cell r="AB63">
            <v>53.5</v>
          </cell>
          <cell r="AC63">
            <v>0.27005363724901499</v>
          </cell>
          <cell r="AD63">
            <v>0</v>
          </cell>
          <cell r="AE63">
            <v>6.9955383691633205E-2</v>
          </cell>
          <cell r="AF63">
            <v>0</v>
          </cell>
          <cell r="AG63">
            <v>0</v>
          </cell>
          <cell r="AH63">
            <v>0</v>
          </cell>
          <cell r="AI63">
            <v>0</v>
          </cell>
        </row>
        <row r="64">
          <cell r="A64" t="str">
            <v>Maximum</v>
          </cell>
          <cell r="C64">
            <v>1206.8110000000001</v>
          </cell>
          <cell r="D64">
            <v>27183.175143410845</v>
          </cell>
          <cell r="E64">
            <v>2413.6220000000003</v>
          </cell>
          <cell r="F64">
            <v>591086.19999999995</v>
          </cell>
          <cell r="G64">
            <v>462468.00594294834</v>
          </cell>
          <cell r="H64">
            <v>1206.8110000000001</v>
          </cell>
          <cell r="I64">
            <v>6037.7485266044214</v>
          </cell>
          <cell r="J64">
            <v>1853055.2370000002</v>
          </cell>
          <cell r="K64">
            <v>35453.711257758077</v>
          </cell>
          <cell r="L64">
            <v>14788.906096753291</v>
          </cell>
          <cell r="M64">
            <v>227568.18700000001</v>
          </cell>
          <cell r="N64">
            <v>566.16795513550073</v>
          </cell>
          <cell r="O64">
            <v>2363.617617622539</v>
          </cell>
          <cell r="P64">
            <v>2363.617617622539</v>
          </cell>
          <cell r="Q64">
            <v>1714.818579008308</v>
          </cell>
          <cell r="R64">
            <v>2955431</v>
          </cell>
          <cell r="U64">
            <v>0.1</v>
          </cell>
          <cell r="V64">
            <v>1.1731448952135091</v>
          </cell>
          <cell r="W64">
            <v>0.80286427253987203</v>
          </cell>
          <cell r="X64">
            <v>20</v>
          </cell>
          <cell r="Y64">
            <v>34.3131263643902</v>
          </cell>
          <cell r="Z64">
            <v>0.1</v>
          </cell>
          <cell r="AA64">
            <v>0.59937424693941299</v>
          </cell>
          <cell r="AB64">
            <v>85.790152330651196</v>
          </cell>
          <cell r="AC64">
            <v>5.1328119552650504</v>
          </cell>
          <cell r="AD64">
            <v>1.069</v>
          </cell>
          <cell r="AE64">
            <v>26.830973437957098</v>
          </cell>
          <cell r="AF64">
            <v>6.2904545131232698E-2</v>
          </cell>
          <cell r="AG64">
            <v>5.1335363836706303E-2</v>
          </cell>
          <cell r="AH64">
            <v>0.147376141547024</v>
          </cell>
          <cell r="AI64">
            <v>0.23582929639910499</v>
          </cell>
        </row>
      </sheetData>
      <sheetData sheetId="5"/>
      <sheetData sheetId="6"/>
      <sheetData sheetId="7"/>
      <sheetData sheetId="8" refreshError="1"/>
      <sheetData sheetId="9"/>
      <sheetData sheetId="10" refreshError="1"/>
      <sheetData sheetId="11"/>
      <sheetData sheetId="12" refreshError="1"/>
      <sheetData sheetId="13"/>
      <sheetData sheetId="14"/>
      <sheetData sheetId="15"/>
      <sheetData sheetId="1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eck these items"/>
      <sheetName val="notes"/>
      <sheetName val="BY Total Return"/>
      <sheetName val="Total_run_Size"/>
      <sheetName val="Comm Catch"/>
      <sheetName val="Subs PU"/>
      <sheetName val="UCR Past Sonar"/>
      <sheetName val="UCR Spwn Esc"/>
      <sheetName val="Hatchery Returns"/>
      <sheetName val="Delta Esc"/>
      <sheetName val="BY Run"/>
      <sheetName val="BY Return"/>
      <sheetName val="Sib Grfs"/>
      <sheetName val="Ret per Spwnr"/>
      <sheetName val="Yield per S"/>
      <sheetName val="Graphs"/>
      <sheetName val="Long Lk"/>
    </sheetNames>
    <sheetDataSet>
      <sheetData sheetId="0" refreshError="1"/>
      <sheetData sheetId="1" refreshError="1"/>
      <sheetData sheetId="2" refreshError="1"/>
      <sheetData sheetId="3" refreshError="1"/>
      <sheetData sheetId="4">
        <row r="51">
          <cell r="B51">
            <v>2002</v>
          </cell>
          <cell r="C51">
            <v>0</v>
          </cell>
          <cell r="D51">
            <v>2633.2200495772186</v>
          </cell>
          <cell r="E51">
            <v>166.00186567164178</v>
          </cell>
          <cell r="F51">
            <v>44272.309517251902</v>
          </cell>
          <cell r="G51">
            <v>166245.31249079239</v>
          </cell>
          <cell r="H51">
            <v>0</v>
          </cell>
          <cell r="I51">
            <v>2302.7700988526085</v>
          </cell>
          <cell r="J51">
            <v>949692.65217548376</v>
          </cell>
          <cell r="K51">
            <v>8103.4013966544617</v>
          </cell>
          <cell r="L51">
            <v>9704.4050135936686</v>
          </cell>
          <cell r="M51">
            <v>64664.434718129778</v>
          </cell>
          <cell r="N51">
            <v>0</v>
          </cell>
          <cell r="O51">
            <v>0</v>
          </cell>
          <cell r="P51">
            <v>718.49267399267376</v>
          </cell>
          <cell r="Q51">
            <v>0</v>
          </cell>
          <cell r="R51">
            <v>1248503</v>
          </cell>
          <cell r="T51">
            <v>2002</v>
          </cell>
          <cell r="U51">
            <v>0</v>
          </cell>
          <cell r="V51">
            <v>0.21091019000973313</v>
          </cell>
          <cell r="W51">
            <v>1.3296072630313406E-2</v>
          </cell>
          <cell r="X51">
            <v>3.5460314886910087</v>
          </cell>
          <cell r="Y51">
            <v>13.315571727964803</v>
          </cell>
          <cell r="Z51">
            <v>0</v>
          </cell>
          <cell r="AA51">
            <v>0.18444249624170775</v>
          </cell>
          <cell r="AB51">
            <v>76.066509425726949</v>
          </cell>
          <cell r="AC51">
            <v>0.64904941330973664</v>
          </cell>
          <cell r="AD51">
            <v>0.77728327553827814</v>
          </cell>
          <cell r="AE51">
            <v>5.1793575760834996</v>
          </cell>
          <cell r="AF51">
            <v>0</v>
          </cell>
          <cell r="AG51">
            <v>0</v>
          </cell>
          <cell r="AH51">
            <v>5.7548333803977551E-2</v>
          </cell>
          <cell r="AI51">
            <v>0</v>
          </cell>
          <cell r="AJ51">
            <v>100.00000000000001</v>
          </cell>
        </row>
        <row r="52">
          <cell r="B52">
            <v>2003</v>
          </cell>
          <cell r="C52">
            <v>0</v>
          </cell>
          <cell r="D52">
            <v>7399.3769315745276</v>
          </cell>
          <cell r="E52">
            <v>1752.1858427141387</v>
          </cell>
          <cell r="F52">
            <v>53859.299918412558</v>
          </cell>
          <cell r="G52">
            <v>137990.75265434466</v>
          </cell>
          <cell r="H52">
            <v>0</v>
          </cell>
          <cell r="I52">
            <v>623.42472475566001</v>
          </cell>
          <cell r="J52">
            <v>947845.88401127863</v>
          </cell>
          <cell r="K52">
            <v>6426.7774837963798</v>
          </cell>
          <cell r="L52">
            <v>3322.3156862006003</v>
          </cell>
          <cell r="M52">
            <v>28359.678159766783</v>
          </cell>
          <cell r="N52">
            <v>0</v>
          </cell>
          <cell r="O52">
            <v>0</v>
          </cell>
          <cell r="P52">
            <v>356.3045871559633</v>
          </cell>
          <cell r="Q52">
            <v>0</v>
          </cell>
          <cell r="R52">
            <v>1187936</v>
          </cell>
          <cell r="T52">
            <v>2003</v>
          </cell>
          <cell r="U52">
            <v>0</v>
          </cell>
          <cell r="V52">
            <v>0.62287673170730806</v>
          </cell>
          <cell r="W52">
            <v>0.14749833683920169</v>
          </cell>
          <cell r="X52">
            <v>4.533855352343271</v>
          </cell>
          <cell r="Y52">
            <v>11.616008998325219</v>
          </cell>
          <cell r="Z52">
            <v>0</v>
          </cell>
          <cell r="AA52">
            <v>5.2479655869984584E-2</v>
          </cell>
          <cell r="AB52">
            <v>79.789305485419973</v>
          </cell>
          <cell r="AC52">
            <v>0.54100368065252502</v>
          </cell>
          <cell r="AD52">
            <v>0.27967126900780853</v>
          </cell>
          <cell r="AE52">
            <v>2.3873069054028822</v>
          </cell>
          <cell r="AF52">
            <v>0</v>
          </cell>
          <cell r="AG52">
            <v>0</v>
          </cell>
          <cell r="AH52">
            <v>2.9993584431818154E-2</v>
          </cell>
          <cell r="AI52">
            <v>0</v>
          </cell>
          <cell r="AJ52">
            <v>99.999999999999986</v>
          </cell>
        </row>
        <row r="53">
          <cell r="B53">
            <v>2004</v>
          </cell>
          <cell r="C53">
            <v>0</v>
          </cell>
          <cell r="D53">
            <v>5709.9295985850531</v>
          </cell>
          <cell r="E53">
            <v>77.293995859213254</v>
          </cell>
          <cell r="F53">
            <v>83836.445325978741</v>
          </cell>
          <cell r="G53">
            <v>269349.93060805858</v>
          </cell>
          <cell r="H53">
            <v>0</v>
          </cell>
          <cell r="I53">
            <v>1438.8321209757369</v>
          </cell>
          <cell r="J53">
            <v>622673.3820570712</v>
          </cell>
          <cell r="K53">
            <v>20404.215270113244</v>
          </cell>
          <cell r="L53">
            <v>4206.3103080510327</v>
          </cell>
          <cell r="M53">
            <v>40307.660715306978</v>
          </cell>
          <cell r="N53">
            <v>0</v>
          </cell>
          <cell r="O53">
            <v>0</v>
          </cell>
          <cell r="P53">
            <v>0</v>
          </cell>
          <cell r="Q53">
            <v>0</v>
          </cell>
          <cell r="R53">
            <v>1048004</v>
          </cell>
          <cell r="T53">
            <v>2004</v>
          </cell>
          <cell r="U53">
            <v>0</v>
          </cell>
          <cell r="V53">
            <v>0.54483853101563096</v>
          </cell>
          <cell r="W53">
            <v>7.3753531340732719E-3</v>
          </cell>
          <cell r="X53">
            <v>7.9996302806075867</v>
          </cell>
          <cell r="Y53">
            <v>25.701231160192005</v>
          </cell>
          <cell r="Z53">
            <v>0</v>
          </cell>
          <cell r="AA53">
            <v>0.13729261729685543</v>
          </cell>
          <cell r="AB53">
            <v>59.415172275780556</v>
          </cell>
          <cell r="AC53">
            <v>1.9469596747830393</v>
          </cell>
          <cell r="AD53">
            <v>0.40136395548595544</v>
          </cell>
          <cell r="AE53">
            <v>3.8461361517042851</v>
          </cell>
          <cell r="AF53">
            <v>0</v>
          </cell>
          <cell r="AG53">
            <v>0</v>
          </cell>
          <cell r="AH53">
            <v>0</v>
          </cell>
          <cell r="AI53">
            <v>0</v>
          </cell>
          <cell r="AJ53">
            <v>100</v>
          </cell>
        </row>
        <row r="54">
          <cell r="B54">
            <v>2005</v>
          </cell>
          <cell r="C54">
            <v>0</v>
          </cell>
          <cell r="D54">
            <v>9896.9039175259022</v>
          </cell>
          <cell r="E54">
            <v>1618.5645843519312</v>
          </cell>
          <cell r="F54">
            <v>122359.68810824319</v>
          </cell>
          <cell r="G54">
            <v>165634.98429444901</v>
          </cell>
          <cell r="H54">
            <v>0</v>
          </cell>
          <cell r="I54">
            <v>717.24391583720717</v>
          </cell>
          <cell r="J54">
            <v>974230.85212878173</v>
          </cell>
          <cell r="K54">
            <v>17525.639563045937</v>
          </cell>
          <cell r="L54">
            <v>2682.6690260024898</v>
          </cell>
          <cell r="M54">
            <v>36775.321122247056</v>
          </cell>
          <cell r="N54">
            <v>0</v>
          </cell>
          <cell r="O54">
            <v>222.13333951567571</v>
          </cell>
          <cell r="P54">
            <v>0</v>
          </cell>
          <cell r="Q54">
            <v>0</v>
          </cell>
          <cell r="R54">
            <v>1331664</v>
          </cell>
          <cell r="T54">
            <v>2005</v>
          </cell>
          <cell r="V54">
            <v>0.74319827805857197</v>
          </cell>
          <cell r="W54">
            <v>0.12154451756238294</v>
          </cell>
          <cell r="X54">
            <v>9.1884805858116767</v>
          </cell>
          <cell r="Y54">
            <v>12.438196444031602</v>
          </cell>
          <cell r="AA54">
            <v>5.3860727318393163E-2</v>
          </cell>
          <cell r="AB54">
            <v>73.158908863555794</v>
          </cell>
          <cell r="AC54">
            <v>1.3160706877294825</v>
          </cell>
          <cell r="AD54">
            <v>0.20145239534916387</v>
          </cell>
          <cell r="AE54">
            <v>2.761606615651325</v>
          </cell>
          <cell r="AG54">
            <v>1.6680884931610056E-2</v>
          </cell>
          <cell r="AJ54">
            <v>100.00000000000001</v>
          </cell>
        </row>
        <row r="55">
          <cell r="B55">
            <v>2006</v>
          </cell>
          <cell r="C55">
            <v>307.8914027149321</v>
          </cell>
          <cell r="D55">
            <v>7670.4762586689858</v>
          </cell>
          <cell r="E55">
            <v>307.8914027149321</v>
          </cell>
          <cell r="F55">
            <v>49974.932773126748</v>
          </cell>
          <cell r="G55">
            <v>243074.62707437374</v>
          </cell>
          <cell r="H55">
            <v>0</v>
          </cell>
          <cell r="I55">
            <v>701.82371494109054</v>
          </cell>
          <cell r="J55">
            <v>1104840.3600204922</v>
          </cell>
          <cell r="K55">
            <v>21507.014372392638</v>
          </cell>
          <cell r="L55">
            <v>8457.3112692905197</v>
          </cell>
          <cell r="M55">
            <v>59911.671711284405</v>
          </cell>
          <cell r="N55">
            <v>0</v>
          </cell>
          <cell r="O55">
            <v>0</v>
          </cell>
          <cell r="P55">
            <v>0</v>
          </cell>
          <cell r="Q55">
            <v>0</v>
          </cell>
          <cell r="R55">
            <v>1496754</v>
          </cell>
          <cell r="T55">
            <v>2006</v>
          </cell>
          <cell r="U55">
            <v>2.0570608310713192E-2</v>
          </cell>
          <cell r="V55">
            <v>0.51247407781565879</v>
          </cell>
          <cell r="W55">
            <v>2.0570608310713192E-2</v>
          </cell>
          <cell r="X55">
            <v>3.3388875375062801</v>
          </cell>
          <cell r="Y55">
            <v>16.240118755278004</v>
          </cell>
          <cell r="AA55">
            <v>4.6889717010349774E-2</v>
          </cell>
          <cell r="AB55">
            <v>73.815761308838475</v>
          </cell>
          <cell r="AC55">
            <v>1.4369104323350823</v>
          </cell>
          <cell r="AD55">
            <v>0.56504350543178905</v>
          </cell>
          <cell r="AE55">
            <v>4.002773449162949</v>
          </cell>
          <cell r="AJ55">
            <v>100.00000000000001</v>
          </cell>
        </row>
        <row r="56">
          <cell r="B56">
            <v>2007</v>
          </cell>
          <cell r="C56">
            <v>0</v>
          </cell>
          <cell r="D56">
            <v>0</v>
          </cell>
          <cell r="E56">
            <v>0</v>
          </cell>
          <cell r="F56">
            <v>47548.644806416218</v>
          </cell>
          <cell r="G56">
            <v>93118.499079187066</v>
          </cell>
          <cell r="H56">
            <v>0</v>
          </cell>
          <cell r="I56">
            <v>0</v>
          </cell>
          <cell r="J56">
            <v>1578207.4763089507</v>
          </cell>
          <cell r="K56">
            <v>9192.7242240119594</v>
          </cell>
          <cell r="L56">
            <v>9334.8204455368759</v>
          </cell>
          <cell r="M56">
            <v>162007.21751827447</v>
          </cell>
          <cell r="N56">
            <v>0</v>
          </cell>
          <cell r="O56">
            <v>2363.617617622539</v>
          </cell>
          <cell r="P56">
            <v>2363.617617622539</v>
          </cell>
          <cell r="Q56">
            <v>0</v>
          </cell>
          <cell r="R56">
            <v>1901773</v>
          </cell>
          <cell r="T56">
            <v>2007</v>
          </cell>
          <cell r="X56">
            <v>2.5002271462690984</v>
          </cell>
          <cell r="Y56">
            <v>4.8964045172156228</v>
          </cell>
          <cell r="AB56">
            <v>82.986112238892375</v>
          </cell>
          <cell r="AC56">
            <v>0.48337652411786053</v>
          </cell>
          <cell r="AD56">
            <v>0.49084830027226573</v>
          </cell>
          <cell r="AE56">
            <v>8.518746323471543</v>
          </cell>
          <cell r="AH56">
            <v>0.12428494976122485</v>
          </cell>
          <cell r="AJ56">
            <v>99.999999999999986</v>
          </cell>
        </row>
        <row r="57">
          <cell r="B57">
            <v>2008</v>
          </cell>
          <cell r="C57">
            <v>0</v>
          </cell>
          <cell r="D57">
            <v>997.73464999999999</v>
          </cell>
          <cell r="E57">
            <v>0</v>
          </cell>
          <cell r="F57">
            <v>11584.629650000001</v>
          </cell>
          <cell r="G57">
            <v>26473.653800000004</v>
          </cell>
          <cell r="H57">
            <v>0</v>
          </cell>
          <cell r="I57">
            <v>343.27205000000004</v>
          </cell>
          <cell r="J57">
            <v>247072.46410000001</v>
          </cell>
          <cell r="K57">
            <v>3673.3317499999998</v>
          </cell>
          <cell r="L57">
            <v>3429.51235</v>
          </cell>
          <cell r="M57">
            <v>27195.487549999998</v>
          </cell>
          <cell r="N57">
            <v>0</v>
          </cell>
          <cell r="O57">
            <v>41.705950000000001</v>
          </cell>
          <cell r="P57">
            <v>41.705950000000001</v>
          </cell>
          <cell r="Q57">
            <v>0</v>
          </cell>
          <cell r="R57">
            <v>320815</v>
          </cell>
          <cell r="T57">
            <v>2008</v>
          </cell>
          <cell r="U57">
            <v>0</v>
          </cell>
          <cell r="V57">
            <v>0.311</v>
          </cell>
          <cell r="W57">
            <v>0</v>
          </cell>
          <cell r="X57">
            <v>3.6110000000000002</v>
          </cell>
          <cell r="Y57">
            <v>8.2520000000000007</v>
          </cell>
          <cell r="Z57">
            <v>0</v>
          </cell>
          <cell r="AA57">
            <v>0.107</v>
          </cell>
          <cell r="AB57">
            <v>77.013999999999996</v>
          </cell>
          <cell r="AC57">
            <v>1.145</v>
          </cell>
          <cell r="AD57">
            <v>1.069</v>
          </cell>
          <cell r="AE57">
            <v>8.4770000000000003</v>
          </cell>
          <cell r="AF57">
            <v>0</v>
          </cell>
          <cell r="AG57">
            <v>0</v>
          </cell>
          <cell r="AH57">
            <v>1.2999999999999999E-2</v>
          </cell>
          <cell r="AI57">
            <v>0</v>
          </cell>
          <cell r="AJ57">
            <v>99.999000000000009</v>
          </cell>
        </row>
        <row r="58">
          <cell r="B58">
            <v>2009</v>
          </cell>
          <cell r="C58">
            <v>0</v>
          </cell>
          <cell r="D58">
            <v>1083.673688462922</v>
          </cell>
          <cell r="E58">
            <v>0</v>
          </cell>
          <cell r="F58">
            <v>39712.584595239205</v>
          </cell>
          <cell r="G58">
            <v>155293.42984620508</v>
          </cell>
          <cell r="H58">
            <v>115.65618860510806</v>
          </cell>
          <cell r="I58">
            <v>230.71789883268485</v>
          </cell>
          <cell r="J58">
            <v>611107.21594072063</v>
          </cell>
          <cell r="K58">
            <v>10736.345147734144</v>
          </cell>
          <cell r="L58">
            <v>3762.0387231428576</v>
          </cell>
          <cell r="M58">
            <v>74427.337971057466</v>
          </cell>
          <cell r="N58">
            <v>0</v>
          </cell>
          <cell r="O58">
            <v>0</v>
          </cell>
          <cell r="P58">
            <v>0</v>
          </cell>
          <cell r="Q58">
            <v>0</v>
          </cell>
          <cell r="R58">
            <v>896469</v>
          </cell>
          <cell r="T58">
            <v>2009</v>
          </cell>
          <cell r="V58">
            <v>0.12088244975151645</v>
          </cell>
          <cell r="X58">
            <v>4.4298893319500401</v>
          </cell>
          <cell r="Y58">
            <v>17.322788612456769</v>
          </cell>
          <cell r="Z58">
            <v>1.2901303737787704E-2</v>
          </cell>
          <cell r="AA58">
            <v>2.5736294153248448E-2</v>
          </cell>
          <cell r="AB58">
            <v>68.168248532935394</v>
          </cell>
          <cell r="AC58">
            <v>1.1976259243469818</v>
          </cell>
          <cell r="AD58">
            <v>0.41965073227773159</v>
          </cell>
          <cell r="AE58">
            <v>8.3022768183905367</v>
          </cell>
          <cell r="AJ58">
            <v>100</v>
          </cell>
        </row>
        <row r="60">
          <cell r="B60" t="str">
            <v>Totals</v>
          </cell>
          <cell r="C60">
            <v>1878.5955260071905</v>
          </cell>
          <cell r="D60">
            <v>166276.60655800754</v>
          </cell>
          <cell r="E60">
            <v>20846.820361762879</v>
          </cell>
          <cell r="F60">
            <v>2757219.2343444792</v>
          </cell>
          <cell r="G60">
            <v>5665677.9714938933</v>
          </cell>
          <cell r="H60">
            <v>5449.5881037879662</v>
          </cell>
          <cell r="I60">
            <v>38076.471387378202</v>
          </cell>
          <cell r="J60">
            <v>31299609.866083868</v>
          </cell>
          <cell r="K60">
            <v>469829.8703066663</v>
          </cell>
          <cell r="L60">
            <v>186250.7687120334</v>
          </cell>
          <cell r="M60">
            <v>3027061.8277415987</v>
          </cell>
          <cell r="N60">
            <v>1570.8187156542845</v>
          </cell>
          <cell r="O60">
            <v>3426.4037937513845</v>
          </cell>
          <cell r="P60">
            <v>11882.97778326166</v>
          </cell>
          <cell r="Q60">
            <v>3817.2945054686975</v>
          </cell>
          <cell r="R60">
            <v>43656473</v>
          </cell>
          <cell r="T60" t="str">
            <v>Mean</v>
          </cell>
          <cell r="U60">
            <v>4.3031316936830667E-3</v>
          </cell>
          <cell r="V60">
            <v>0.38087503440327747</v>
          </cell>
          <cell r="W60">
            <v>4.7751957336917436E-2</v>
          </cell>
          <cell r="X60">
            <v>6.3157168797041381</v>
          </cell>
          <cell r="Y60">
            <v>12.97786463760802</v>
          </cell>
          <cell r="Z60">
            <v>1.2482886796164147E-2</v>
          </cell>
          <cell r="AA60">
            <v>8.7218386577812182E-2</v>
          </cell>
          <cell r="AB60">
            <v>71.695232608653171</v>
          </cell>
          <cell r="AC60">
            <v>1.0761974983793727</v>
          </cell>
          <cell r="AD60">
            <v>0.42662807119584167</v>
          </cell>
          <cell r="AE60">
            <v>6.9338213092514343</v>
          </cell>
          <cell r="AF60">
            <v>3.5981347271326395E-3</v>
          </cell>
          <cell r="AG60">
            <v>7.8485584342816335E-3</v>
          </cell>
          <cell r="AH60">
            <v>2.721928036481935E-2</v>
          </cell>
          <cell r="AI60">
            <v>8.7439370227381814E-3</v>
          </cell>
        </row>
        <row r="62">
          <cell r="A62" t="str">
            <v>Average</v>
          </cell>
          <cell r="C62">
            <v>41.746567244604236</v>
          </cell>
          <cell r="D62">
            <v>3695.0357012890563</v>
          </cell>
          <cell r="E62">
            <v>463.26267470584173</v>
          </cell>
          <cell r="F62">
            <v>61271.538540988426</v>
          </cell>
          <cell r="G62">
            <v>125903.95492208652</v>
          </cell>
          <cell r="H62">
            <v>121.1019578619548</v>
          </cell>
          <cell r="I62">
            <v>846.14380860840447</v>
          </cell>
          <cell r="J62">
            <v>695546.88591297483</v>
          </cell>
          <cell r="K62">
            <v>10440.663784592585</v>
          </cell>
          <cell r="L62">
            <v>4138.90597137852</v>
          </cell>
          <cell r="M62">
            <v>67268.040616479964</v>
          </cell>
          <cell r="N62">
            <v>34.907082570095213</v>
          </cell>
          <cell r="O62">
            <v>76.142306527808543</v>
          </cell>
          <cell r="P62">
            <v>264.06617296137023</v>
          </cell>
          <cell r="Q62">
            <v>84.828766788193278</v>
          </cell>
          <cell r="R62">
            <v>937487.73469387752</v>
          </cell>
        </row>
        <row r="63">
          <cell r="A63" t="str">
            <v>Minimum</v>
          </cell>
          <cell r="C63">
            <v>0</v>
          </cell>
          <cell r="D63">
            <v>0</v>
          </cell>
          <cell r="E63">
            <v>0</v>
          </cell>
          <cell r="F63">
            <v>0</v>
          </cell>
          <cell r="G63">
            <v>4939.8355213193026</v>
          </cell>
          <cell r="H63">
            <v>0</v>
          </cell>
          <cell r="I63">
            <v>0</v>
          </cell>
          <cell r="J63">
            <v>11734.160789844849</v>
          </cell>
          <cell r="K63">
            <v>851.34208527720443</v>
          </cell>
          <cell r="L63">
            <v>0</v>
          </cell>
          <cell r="M63">
            <v>487.13781210587246</v>
          </cell>
          <cell r="N63">
            <v>0</v>
          </cell>
          <cell r="O63">
            <v>0</v>
          </cell>
          <cell r="P63">
            <v>0</v>
          </cell>
          <cell r="Q63">
            <v>0</v>
          </cell>
          <cell r="R63">
            <v>18908</v>
          </cell>
          <cell r="U63">
            <v>0</v>
          </cell>
          <cell r="V63">
            <v>0</v>
          </cell>
          <cell r="W63">
            <v>0</v>
          </cell>
          <cell r="X63">
            <v>0</v>
          </cell>
          <cell r="Y63">
            <v>3.0163685180991799</v>
          </cell>
          <cell r="Z63">
            <v>0</v>
          </cell>
          <cell r="AA63">
            <v>0</v>
          </cell>
          <cell r="AB63">
            <v>53.5</v>
          </cell>
          <cell r="AC63">
            <v>0.27005363724901499</v>
          </cell>
          <cell r="AD63">
            <v>0</v>
          </cell>
          <cell r="AE63">
            <v>6.9955383691633205E-2</v>
          </cell>
          <cell r="AF63">
            <v>0</v>
          </cell>
          <cell r="AG63">
            <v>0</v>
          </cell>
          <cell r="AH63">
            <v>0</v>
          </cell>
          <cell r="AI63">
            <v>0</v>
          </cell>
        </row>
        <row r="64">
          <cell r="A64" t="str">
            <v>Maximum</v>
          </cell>
          <cell r="C64">
            <v>1206.8110000000001</v>
          </cell>
          <cell r="D64">
            <v>27183.175143410845</v>
          </cell>
          <cell r="E64">
            <v>2413.6220000000003</v>
          </cell>
          <cell r="F64">
            <v>591086.19999999995</v>
          </cell>
          <cell r="G64">
            <v>462468.00594294834</v>
          </cell>
          <cell r="H64">
            <v>1206.8110000000001</v>
          </cell>
          <cell r="I64">
            <v>6037.7485266044214</v>
          </cell>
          <cell r="J64">
            <v>1853055.2370000002</v>
          </cell>
          <cell r="K64">
            <v>35453.711257758077</v>
          </cell>
          <cell r="L64">
            <v>14788.906096753291</v>
          </cell>
          <cell r="M64">
            <v>227568.18700000001</v>
          </cell>
          <cell r="N64">
            <v>566.16795513550073</v>
          </cell>
          <cell r="O64">
            <v>2363.617617622539</v>
          </cell>
          <cell r="P64">
            <v>2363.617617622539</v>
          </cell>
          <cell r="Q64">
            <v>1714.818579008308</v>
          </cell>
          <cell r="R64">
            <v>2955431</v>
          </cell>
          <cell r="U64">
            <v>0.1</v>
          </cell>
          <cell r="V64">
            <v>1.1731448952135091</v>
          </cell>
          <cell r="W64">
            <v>0.80286427253987203</v>
          </cell>
          <cell r="X64">
            <v>20</v>
          </cell>
          <cell r="Y64">
            <v>34.3131263643902</v>
          </cell>
          <cell r="Z64">
            <v>0.1</v>
          </cell>
          <cell r="AA64">
            <v>0.59937424693941299</v>
          </cell>
          <cell r="AB64">
            <v>85.790152330651196</v>
          </cell>
          <cell r="AC64">
            <v>5.1328119552650504</v>
          </cell>
          <cell r="AD64">
            <v>1.069</v>
          </cell>
          <cell r="AE64">
            <v>26.830973437957098</v>
          </cell>
          <cell r="AF64">
            <v>6.2904545131232698E-2</v>
          </cell>
          <cell r="AG64">
            <v>5.1335363836706303E-2</v>
          </cell>
          <cell r="AH64">
            <v>0.147376141547024</v>
          </cell>
          <cell r="AI64">
            <v>0.23582929639910499</v>
          </cell>
        </row>
      </sheetData>
      <sheetData sheetId="5"/>
      <sheetData sheetId="6"/>
      <sheetData sheetId="7"/>
      <sheetData sheetId="8" refreshError="1"/>
      <sheetData sheetId="9"/>
      <sheetData sheetId="10" refreshError="1"/>
      <sheetData sheetId="11"/>
      <sheetData sheetId="12" refreshError="1"/>
      <sheetData sheetId="13"/>
      <sheetData sheetId="14"/>
      <sheetData sheetId="15"/>
      <sheetData sheetId="16"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n23xln13"/>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geComp"/>
      <sheetName val="AgeErrors"/>
      <sheetName val="Mean_WT"/>
      <sheetName val="LenAtAge"/>
      <sheetName val="MeanLeng"/>
      <sheetName val="Data"/>
      <sheetName val="Overlay"/>
    </sheetNames>
    <sheetDataSet>
      <sheetData sheetId="0">
        <row r="10">
          <cell r="B10">
            <v>401</v>
          </cell>
        </row>
      </sheetData>
      <sheetData sheetId="1"/>
      <sheetData sheetId="2"/>
      <sheetData sheetId="3"/>
      <sheetData sheetId="4"/>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x YR"/>
      <sheetName val="DataList"/>
      <sheetName val="MWL-Season"/>
      <sheetName val="MWL to June30"/>
      <sheetName val="HistoricWL"/>
      <sheetName val="Water Levels x=y"/>
      <sheetName val="t table"/>
    </sheetNames>
    <sheetDataSet>
      <sheetData sheetId="0"/>
      <sheetData sheetId="1"/>
      <sheetData sheetId="2" refreshError="1"/>
      <sheetData sheetId="3" refreshError="1"/>
      <sheetData sheetId="4" refreshError="1"/>
      <sheetData sheetId="5" refreshError="1"/>
      <sheetData sheetId="6">
        <row r="7">
          <cell r="A7">
            <v>1</v>
          </cell>
          <cell r="B7">
            <v>1</v>
          </cell>
          <cell r="C7">
            <v>1.3759999999999999</v>
          </cell>
          <cell r="D7">
            <v>3.0779999999999998</v>
          </cell>
          <cell r="E7">
            <v>6.3140000000000001</v>
          </cell>
          <cell r="F7">
            <v>12.706</v>
          </cell>
          <cell r="G7">
            <v>25.452000000000002</v>
          </cell>
        </row>
        <row r="8">
          <cell r="A8">
            <v>2</v>
          </cell>
          <cell r="B8">
            <v>0.81600000000000006</v>
          </cell>
          <cell r="C8">
            <v>1.0609999999999999</v>
          </cell>
          <cell r="D8">
            <v>1.8859999999999999</v>
          </cell>
          <cell r="E8">
            <v>2.92</v>
          </cell>
          <cell r="F8">
            <v>4.3029999999999999</v>
          </cell>
          <cell r="G8">
            <v>6.2050000000000001</v>
          </cell>
        </row>
        <row r="9">
          <cell r="A9">
            <v>3</v>
          </cell>
          <cell r="B9">
            <v>0.76500000000000001</v>
          </cell>
          <cell r="C9">
            <v>0.97799999999999998</v>
          </cell>
          <cell r="D9">
            <v>1.6379999999999999</v>
          </cell>
          <cell r="E9">
            <v>2.3530000000000002</v>
          </cell>
          <cell r="F9">
            <v>3.1819999999999999</v>
          </cell>
          <cell r="G9">
            <v>4.1760000000000002</v>
          </cell>
        </row>
        <row r="10">
          <cell r="A10">
            <v>4</v>
          </cell>
          <cell r="B10">
            <v>0.74099999999999999</v>
          </cell>
          <cell r="C10">
            <v>0.94100000000000006</v>
          </cell>
          <cell r="D10">
            <v>1.5329999999999999</v>
          </cell>
          <cell r="E10">
            <v>2.1320000000000001</v>
          </cell>
          <cell r="F10">
            <v>2.7759999999999998</v>
          </cell>
          <cell r="G10">
            <v>3.4950000000000001</v>
          </cell>
        </row>
        <row r="11">
          <cell r="A11">
            <v>5</v>
          </cell>
          <cell r="B11">
            <v>0.72699999999999998</v>
          </cell>
          <cell r="C11">
            <v>0.92</v>
          </cell>
          <cell r="D11">
            <v>1.476</v>
          </cell>
          <cell r="E11">
            <v>2.0150000000000001</v>
          </cell>
          <cell r="F11">
            <v>2.5710000000000002</v>
          </cell>
          <cell r="G11">
            <v>3.1629999999999998</v>
          </cell>
        </row>
        <row r="12">
          <cell r="A12">
            <v>6</v>
          </cell>
          <cell r="B12">
            <v>0.71799999999999997</v>
          </cell>
          <cell r="C12">
            <v>0.90600000000000003</v>
          </cell>
          <cell r="D12">
            <v>1.44</v>
          </cell>
          <cell r="E12">
            <v>1.9430000000000001</v>
          </cell>
          <cell r="F12">
            <v>2.4470000000000001</v>
          </cell>
          <cell r="G12">
            <v>2.9689999999999999</v>
          </cell>
        </row>
        <row r="13">
          <cell r="A13">
            <v>7</v>
          </cell>
          <cell r="B13">
            <v>0.71099999999999997</v>
          </cell>
          <cell r="C13">
            <v>0.89600000000000002</v>
          </cell>
          <cell r="D13">
            <v>1.415</v>
          </cell>
          <cell r="E13">
            <v>1.895</v>
          </cell>
          <cell r="F13">
            <v>2.3650000000000002</v>
          </cell>
          <cell r="G13">
            <v>2.8410000000000002</v>
          </cell>
        </row>
        <row r="14">
          <cell r="A14">
            <v>8</v>
          </cell>
          <cell r="B14">
            <v>0.70599999999999996</v>
          </cell>
          <cell r="C14">
            <v>0.88900000000000001</v>
          </cell>
          <cell r="D14">
            <v>1.397</v>
          </cell>
          <cell r="E14">
            <v>1.86</v>
          </cell>
          <cell r="F14">
            <v>2.306</v>
          </cell>
          <cell r="G14">
            <v>2.7519999999999998</v>
          </cell>
        </row>
        <row r="15">
          <cell r="A15">
            <v>9</v>
          </cell>
          <cell r="B15">
            <v>0.70300000000000007</v>
          </cell>
          <cell r="C15">
            <v>0.88300000000000001</v>
          </cell>
          <cell r="D15">
            <v>1.383</v>
          </cell>
          <cell r="E15">
            <v>1.833</v>
          </cell>
          <cell r="F15">
            <v>2.262</v>
          </cell>
          <cell r="G15">
            <v>2.6850000000000001</v>
          </cell>
        </row>
        <row r="16">
          <cell r="A16">
            <v>10</v>
          </cell>
          <cell r="B16">
            <v>0.7</v>
          </cell>
          <cell r="C16">
            <v>0.879</v>
          </cell>
          <cell r="D16">
            <v>1.3720000000000001</v>
          </cell>
          <cell r="E16">
            <v>1.8120000000000001</v>
          </cell>
          <cell r="F16">
            <v>2.2280000000000002</v>
          </cell>
          <cell r="G16">
            <v>2.6339999999999999</v>
          </cell>
        </row>
        <row r="17">
          <cell r="A17">
            <v>11</v>
          </cell>
          <cell r="B17">
            <v>0.69700000000000006</v>
          </cell>
          <cell r="C17">
            <v>0.876</v>
          </cell>
          <cell r="D17">
            <v>1.363</v>
          </cell>
          <cell r="E17">
            <v>1.796</v>
          </cell>
          <cell r="F17">
            <v>2.2010000000000001</v>
          </cell>
          <cell r="G17">
            <v>2.593</v>
          </cell>
        </row>
        <row r="18">
          <cell r="A18">
            <v>12</v>
          </cell>
          <cell r="B18">
            <v>0.69499999999999995</v>
          </cell>
          <cell r="C18">
            <v>0.873</v>
          </cell>
          <cell r="D18">
            <v>1.3560000000000001</v>
          </cell>
          <cell r="E18">
            <v>1.782</v>
          </cell>
          <cell r="F18">
            <v>2.1789999999999998</v>
          </cell>
          <cell r="G18">
            <v>2.56</v>
          </cell>
        </row>
        <row r="19">
          <cell r="A19">
            <v>13</v>
          </cell>
          <cell r="B19">
            <v>0.69400000000000006</v>
          </cell>
          <cell r="C19">
            <v>0.87</v>
          </cell>
          <cell r="D19">
            <v>1.35</v>
          </cell>
          <cell r="E19">
            <v>1.7709999999999999</v>
          </cell>
          <cell r="F19">
            <v>2.16</v>
          </cell>
          <cell r="G19">
            <v>2.5329999999999999</v>
          </cell>
        </row>
        <row r="20">
          <cell r="A20">
            <v>14</v>
          </cell>
          <cell r="B20">
            <v>0.69200000000000006</v>
          </cell>
          <cell r="C20">
            <v>0.86799999999999999</v>
          </cell>
          <cell r="D20">
            <v>1.345</v>
          </cell>
          <cell r="E20">
            <v>1.7609999999999999</v>
          </cell>
          <cell r="F20">
            <v>2.145</v>
          </cell>
          <cell r="G20">
            <v>2.5099999999999998</v>
          </cell>
        </row>
        <row r="21">
          <cell r="A21">
            <v>15</v>
          </cell>
          <cell r="B21">
            <v>0.69100000000000006</v>
          </cell>
          <cell r="C21">
            <v>0.86599999999999999</v>
          </cell>
          <cell r="D21">
            <v>1.341</v>
          </cell>
          <cell r="E21">
            <v>1.7529999999999999</v>
          </cell>
          <cell r="F21">
            <v>2.1309999999999998</v>
          </cell>
          <cell r="G21">
            <v>2.4900000000000002</v>
          </cell>
        </row>
        <row r="22">
          <cell r="A22">
            <v>16</v>
          </cell>
          <cell r="B22">
            <v>0.69</v>
          </cell>
          <cell r="C22">
            <v>0.86499999999999999</v>
          </cell>
          <cell r="D22">
            <v>1.337</v>
          </cell>
          <cell r="E22">
            <v>1.746</v>
          </cell>
          <cell r="F22">
            <v>2.12</v>
          </cell>
          <cell r="G22">
            <v>2.4729999999999999</v>
          </cell>
        </row>
        <row r="23">
          <cell r="A23">
            <v>17</v>
          </cell>
          <cell r="B23">
            <v>0.68900000000000006</v>
          </cell>
          <cell r="C23">
            <v>0.86299999999999999</v>
          </cell>
          <cell r="D23">
            <v>1.333</v>
          </cell>
          <cell r="E23">
            <v>1.74</v>
          </cell>
          <cell r="F23">
            <v>2.11</v>
          </cell>
          <cell r="G23">
            <v>2.4580000000000002</v>
          </cell>
        </row>
        <row r="24">
          <cell r="A24">
            <v>18</v>
          </cell>
          <cell r="B24">
            <v>0.68800000000000006</v>
          </cell>
          <cell r="C24">
            <v>0.86199999999999999</v>
          </cell>
          <cell r="D24">
            <v>1.33</v>
          </cell>
          <cell r="E24">
            <v>1.734</v>
          </cell>
          <cell r="F24">
            <v>2.101</v>
          </cell>
          <cell r="G24">
            <v>2.4449999999999998</v>
          </cell>
        </row>
        <row r="25">
          <cell r="A25">
            <v>19</v>
          </cell>
          <cell r="B25">
            <v>0.68800000000000006</v>
          </cell>
          <cell r="C25">
            <v>0.86099999999999999</v>
          </cell>
          <cell r="D25">
            <v>1.3280000000000001</v>
          </cell>
          <cell r="E25">
            <v>1.7290000000000001</v>
          </cell>
          <cell r="F25">
            <v>2.093</v>
          </cell>
          <cell r="G25">
            <v>2.4430000000000001</v>
          </cell>
        </row>
        <row r="26">
          <cell r="A26">
            <v>20</v>
          </cell>
          <cell r="B26">
            <v>0.68700000000000006</v>
          </cell>
          <cell r="C26">
            <v>0.86</v>
          </cell>
          <cell r="D26">
            <v>1.325</v>
          </cell>
          <cell r="E26">
            <v>1.7250000000000001</v>
          </cell>
          <cell r="F26">
            <v>2.0859999999999999</v>
          </cell>
          <cell r="G26">
            <v>2.423</v>
          </cell>
        </row>
        <row r="27">
          <cell r="A27">
            <v>21</v>
          </cell>
          <cell r="B27">
            <v>0.68600000000000005</v>
          </cell>
          <cell r="C27">
            <v>0.85899999999999999</v>
          </cell>
          <cell r="D27">
            <v>1.323</v>
          </cell>
          <cell r="E27">
            <v>1.7210000000000001</v>
          </cell>
          <cell r="F27">
            <v>2.08</v>
          </cell>
          <cell r="G27">
            <v>2.4140000000000001</v>
          </cell>
        </row>
        <row r="28">
          <cell r="A28">
            <v>22</v>
          </cell>
          <cell r="B28">
            <v>0.69600000000000006</v>
          </cell>
          <cell r="C28">
            <v>0.85799999999999998</v>
          </cell>
          <cell r="D28">
            <v>1.321</v>
          </cell>
          <cell r="E28">
            <v>1.7170000000000001</v>
          </cell>
          <cell r="F28">
            <v>2.0739999999999998</v>
          </cell>
          <cell r="G28">
            <v>2.4060000000000001</v>
          </cell>
        </row>
        <row r="29">
          <cell r="A29">
            <v>23</v>
          </cell>
          <cell r="B29">
            <v>0.68500000000000005</v>
          </cell>
          <cell r="C29">
            <v>0.85799999999999998</v>
          </cell>
          <cell r="D29">
            <v>1.319</v>
          </cell>
          <cell r="E29">
            <v>1.714</v>
          </cell>
          <cell r="F29">
            <v>2.069</v>
          </cell>
          <cell r="G29">
            <v>2.3980000000000001</v>
          </cell>
        </row>
        <row r="30">
          <cell r="A30">
            <v>24</v>
          </cell>
          <cell r="B30">
            <v>0.68500000000000005</v>
          </cell>
          <cell r="C30">
            <v>0.85699999999999998</v>
          </cell>
          <cell r="D30">
            <v>1.3180000000000001</v>
          </cell>
          <cell r="E30">
            <v>1.7110000000000001</v>
          </cell>
          <cell r="F30">
            <v>2.0640000000000001</v>
          </cell>
          <cell r="G30">
            <v>2.391</v>
          </cell>
        </row>
        <row r="31">
          <cell r="A31">
            <v>25</v>
          </cell>
          <cell r="B31">
            <v>0.68400000000000005</v>
          </cell>
          <cell r="C31">
            <v>0.85599999999999998</v>
          </cell>
          <cell r="D31">
            <v>1.3160000000000001</v>
          </cell>
          <cell r="E31">
            <v>1.708</v>
          </cell>
          <cell r="F31">
            <v>2.06</v>
          </cell>
          <cell r="G31">
            <v>2.3849999999999998</v>
          </cell>
        </row>
        <row r="32">
          <cell r="A32">
            <v>26</v>
          </cell>
          <cell r="B32">
            <v>0.68400000000000005</v>
          </cell>
          <cell r="C32">
            <v>0.85599999999999998</v>
          </cell>
          <cell r="D32">
            <v>1.3149999999999999</v>
          </cell>
          <cell r="E32">
            <v>1.706</v>
          </cell>
          <cell r="F32">
            <v>2.056</v>
          </cell>
          <cell r="G32">
            <v>2.379</v>
          </cell>
        </row>
        <row r="33">
          <cell r="A33">
            <v>27</v>
          </cell>
          <cell r="B33">
            <v>0.68400000000000005</v>
          </cell>
          <cell r="C33">
            <v>0.85499999999999998</v>
          </cell>
          <cell r="D33">
            <v>1.3140000000000001</v>
          </cell>
          <cell r="E33">
            <v>1.7030000000000001</v>
          </cell>
          <cell r="F33">
            <v>2.052</v>
          </cell>
          <cell r="G33">
            <v>2.3730000000000002</v>
          </cell>
        </row>
        <row r="34">
          <cell r="A34">
            <v>28</v>
          </cell>
          <cell r="B34">
            <v>0.68300000000000005</v>
          </cell>
          <cell r="C34">
            <v>0.85499999999999998</v>
          </cell>
          <cell r="D34">
            <v>1.3129999999999999</v>
          </cell>
          <cell r="E34">
            <v>1.7010000000000001</v>
          </cell>
          <cell r="F34">
            <v>2.048</v>
          </cell>
          <cell r="G34">
            <v>2.3679999999999999</v>
          </cell>
        </row>
        <row r="35">
          <cell r="A35">
            <v>29</v>
          </cell>
          <cell r="B35">
            <v>0.68300000000000005</v>
          </cell>
          <cell r="C35">
            <v>0.85399999999999998</v>
          </cell>
          <cell r="D35">
            <v>1.3109999999999999</v>
          </cell>
          <cell r="E35">
            <v>1.6990000000000001</v>
          </cell>
          <cell r="F35">
            <v>2.0449999999999999</v>
          </cell>
          <cell r="G35">
            <v>2.3639999999999999</v>
          </cell>
        </row>
        <row r="36">
          <cell r="A36">
            <v>30</v>
          </cell>
          <cell r="B36">
            <v>0.68300000000000005</v>
          </cell>
          <cell r="C36">
            <v>0.85399999999999998</v>
          </cell>
          <cell r="D36">
            <v>1.31</v>
          </cell>
          <cell r="E36">
            <v>1.6970000000000001</v>
          </cell>
          <cell r="F36">
            <v>2.0419999999999998</v>
          </cell>
          <cell r="G36">
            <v>2.36</v>
          </cell>
        </row>
        <row r="37">
          <cell r="A37">
            <v>35</v>
          </cell>
          <cell r="B37">
            <v>0.68200000000000005</v>
          </cell>
          <cell r="C37">
            <v>0.85199999999999998</v>
          </cell>
          <cell r="D37">
            <v>1.306</v>
          </cell>
          <cell r="E37">
            <v>1.69</v>
          </cell>
          <cell r="F37">
            <v>2.0299999999999998</v>
          </cell>
          <cell r="G37">
            <v>2.3420000000000001</v>
          </cell>
        </row>
        <row r="38">
          <cell r="A38">
            <v>40</v>
          </cell>
          <cell r="B38">
            <v>0.68100000000000005</v>
          </cell>
          <cell r="C38">
            <v>0.85099999999999998</v>
          </cell>
          <cell r="D38">
            <v>1.3029999999999999</v>
          </cell>
          <cell r="E38">
            <v>1.6839999999999999</v>
          </cell>
          <cell r="F38">
            <v>2.0209999999999999</v>
          </cell>
          <cell r="G38">
            <v>2.3290000000000002</v>
          </cell>
        </row>
        <row r="39">
          <cell r="A39">
            <v>45</v>
          </cell>
          <cell r="B39">
            <v>0.68</v>
          </cell>
          <cell r="C39">
            <v>0.85</v>
          </cell>
          <cell r="D39">
            <v>1.3009999999999999</v>
          </cell>
          <cell r="E39">
            <v>1.68</v>
          </cell>
          <cell r="F39">
            <v>2.0139999999999998</v>
          </cell>
          <cell r="G39">
            <v>2.319</v>
          </cell>
        </row>
        <row r="40">
          <cell r="A40">
            <v>50</v>
          </cell>
          <cell r="B40">
            <v>0.68</v>
          </cell>
          <cell r="C40">
            <v>0.84899999999999998</v>
          </cell>
          <cell r="D40">
            <v>1.2989999999999999</v>
          </cell>
          <cell r="E40">
            <v>1.6759999999999999</v>
          </cell>
          <cell r="F40">
            <v>2.008</v>
          </cell>
          <cell r="G40">
            <v>2.31</v>
          </cell>
        </row>
        <row r="41">
          <cell r="A41">
            <v>55</v>
          </cell>
          <cell r="B41">
            <v>0.67900000000000005</v>
          </cell>
          <cell r="C41">
            <v>0.84899999999999998</v>
          </cell>
          <cell r="D41">
            <v>1.2969999999999999</v>
          </cell>
          <cell r="E41">
            <v>1.673</v>
          </cell>
          <cell r="F41">
            <v>2.004</v>
          </cell>
          <cell r="G41">
            <v>2.3039999999999998</v>
          </cell>
        </row>
        <row r="42">
          <cell r="A42">
            <v>60</v>
          </cell>
          <cell r="B42">
            <v>0.67900000000000005</v>
          </cell>
          <cell r="C42">
            <v>0.84799999999999998</v>
          </cell>
          <cell r="D42">
            <v>1.296</v>
          </cell>
          <cell r="E42">
            <v>1.671</v>
          </cell>
          <cell r="F42">
            <v>2</v>
          </cell>
          <cell r="G42">
            <v>2.2989999999999999</v>
          </cell>
        </row>
        <row r="43">
          <cell r="A43">
            <v>70</v>
          </cell>
          <cell r="B43">
            <v>0.67800000000000005</v>
          </cell>
          <cell r="C43">
            <v>0.84699999999999998</v>
          </cell>
          <cell r="D43">
            <v>1.294</v>
          </cell>
          <cell r="E43">
            <v>1.667</v>
          </cell>
          <cell r="F43">
            <v>1.994</v>
          </cell>
          <cell r="G43">
            <v>2.29</v>
          </cell>
        </row>
        <row r="44">
          <cell r="A44">
            <v>80</v>
          </cell>
          <cell r="B44">
            <v>0.67800000000000005</v>
          </cell>
          <cell r="C44">
            <v>0.84699999999999998</v>
          </cell>
          <cell r="D44">
            <v>1.2929999999999999</v>
          </cell>
          <cell r="E44">
            <v>1.665</v>
          </cell>
          <cell r="F44">
            <v>1.9890000000000001</v>
          </cell>
          <cell r="G44">
            <v>2.2839999999999998</v>
          </cell>
        </row>
        <row r="45">
          <cell r="A45">
            <v>90</v>
          </cell>
          <cell r="B45">
            <v>0.67800000000000005</v>
          </cell>
          <cell r="C45">
            <v>0.84599999999999997</v>
          </cell>
          <cell r="D45">
            <v>1.2909999999999999</v>
          </cell>
          <cell r="E45">
            <v>1.6619999999999999</v>
          </cell>
          <cell r="F45">
            <v>1.986</v>
          </cell>
          <cell r="G45">
            <v>2.2789999999999999</v>
          </cell>
        </row>
        <row r="46">
          <cell r="A46">
            <v>100</v>
          </cell>
          <cell r="B46">
            <v>0.67700000000000005</v>
          </cell>
          <cell r="C46">
            <v>0.84599999999999997</v>
          </cell>
          <cell r="D46">
            <v>1.29</v>
          </cell>
          <cell r="E46">
            <v>1.661</v>
          </cell>
          <cell r="F46">
            <v>1.982</v>
          </cell>
          <cell r="G46">
            <v>2.2759999999999998</v>
          </cell>
        </row>
        <row r="47">
          <cell r="A47">
            <v>120</v>
          </cell>
          <cell r="B47">
            <v>0.67700000000000005</v>
          </cell>
          <cell r="C47">
            <v>0.84499999999999997</v>
          </cell>
          <cell r="D47">
            <v>1.2889999999999999</v>
          </cell>
          <cell r="E47">
            <v>1.6579999999999999</v>
          </cell>
          <cell r="F47">
            <v>1.98</v>
          </cell>
          <cell r="G47">
            <v>2.27</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S_Data"/>
      <sheetName val="Plots"/>
      <sheetName val="GH_CCP_deltaEsc"/>
      <sheetName val="Rank data"/>
      <sheetName val="Fry releases"/>
      <sheetName val="Fry to adult survival"/>
      <sheetName val="Pivot_HarvestRate"/>
      <sheetName val="Contributions"/>
      <sheetName val="Table2"/>
      <sheetName val="Contributions (2)"/>
      <sheetName val="total harvest"/>
      <sheetName val="UCR_PU_sub"/>
      <sheetName val="Upriver Sport Sockeye Harvest"/>
    </sheetNames>
    <sheetDataSet>
      <sheetData sheetId="0"/>
      <sheetData sheetId="1"/>
      <sheetData sheetId="2"/>
      <sheetData sheetId="3"/>
      <sheetData sheetId="4">
        <row r="7">
          <cell r="H7">
            <v>179311</v>
          </cell>
        </row>
        <row r="8">
          <cell r="H8">
            <v>886556</v>
          </cell>
        </row>
        <row r="9">
          <cell r="H9">
            <v>728681</v>
          </cell>
        </row>
        <row r="10">
          <cell r="H10">
            <v>627170</v>
          </cell>
        </row>
        <row r="11">
          <cell r="H11">
            <v>581277</v>
          </cell>
        </row>
        <row r="12">
          <cell r="H12">
            <v>1040563</v>
          </cell>
        </row>
        <row r="13">
          <cell r="H13">
            <v>2446057</v>
          </cell>
        </row>
        <row r="14">
          <cell r="H14">
            <v>5249173</v>
          </cell>
        </row>
        <row r="15">
          <cell r="H15">
            <v>8033217</v>
          </cell>
        </row>
        <row r="16">
          <cell r="H16">
            <v>9782684</v>
          </cell>
        </row>
        <row r="17">
          <cell r="H17">
            <v>10904209</v>
          </cell>
        </row>
        <row r="18">
          <cell r="H18">
            <v>19000532</v>
          </cell>
        </row>
        <row r="19">
          <cell r="H19">
            <v>23587594</v>
          </cell>
        </row>
        <row r="20">
          <cell r="H20">
            <v>22397733</v>
          </cell>
        </row>
        <row r="21">
          <cell r="H21">
            <v>20904001</v>
          </cell>
        </row>
        <row r="22">
          <cell r="H22">
            <v>26005549</v>
          </cell>
        </row>
        <row r="23">
          <cell r="H23">
            <v>25478324</v>
          </cell>
        </row>
        <row r="24">
          <cell r="H24">
            <v>22868313</v>
          </cell>
        </row>
        <row r="25">
          <cell r="H25">
            <v>27079618</v>
          </cell>
        </row>
        <row r="26">
          <cell r="H26">
            <v>14193534</v>
          </cell>
        </row>
        <row r="27">
          <cell r="H27">
            <v>27812840</v>
          </cell>
        </row>
        <row r="28">
          <cell r="H28">
            <v>29737805</v>
          </cell>
        </row>
        <row r="29">
          <cell r="H29">
            <v>30374955</v>
          </cell>
        </row>
        <row r="30">
          <cell r="H30">
            <v>31789686</v>
          </cell>
        </row>
        <row r="31">
          <cell r="H31">
            <v>32264799</v>
          </cell>
        </row>
        <row r="32">
          <cell r="H32">
            <v>30727445</v>
          </cell>
        </row>
        <row r="33">
          <cell r="H33">
            <v>22337379</v>
          </cell>
        </row>
        <row r="34">
          <cell r="H34">
            <v>13949515</v>
          </cell>
        </row>
        <row r="35">
          <cell r="H35">
            <v>25902670</v>
          </cell>
        </row>
        <row r="36">
          <cell r="H36">
            <v>26244815</v>
          </cell>
        </row>
        <row r="37">
          <cell r="H37">
            <v>27342549</v>
          </cell>
        </row>
        <row r="38">
          <cell r="H38">
            <v>7011360</v>
          </cell>
        </row>
        <row r="39">
          <cell r="H39">
            <v>20222456</v>
          </cell>
        </row>
        <row r="40">
          <cell r="H40">
            <v>22000000</v>
          </cell>
        </row>
        <row r="41">
          <cell r="H41">
            <v>21980000</v>
          </cell>
        </row>
        <row r="42">
          <cell r="H42">
            <v>22000000</v>
          </cell>
        </row>
        <row r="43">
          <cell r="H43">
            <v>22010000</v>
          </cell>
        </row>
        <row r="44">
          <cell r="H44">
            <v>21980000</v>
          </cell>
        </row>
        <row r="45">
          <cell r="H45">
            <v>21520000</v>
          </cell>
        </row>
        <row r="46">
          <cell r="H46">
            <v>18560000</v>
          </cell>
        </row>
      </sheetData>
      <sheetData sheetId="5"/>
      <sheetData sheetId="6"/>
      <sheetData sheetId="7">
        <row r="8">
          <cell r="I8">
            <v>317.72249663625212</v>
          </cell>
        </row>
        <row r="9">
          <cell r="I9">
            <v>2096.2561148612617</v>
          </cell>
        </row>
        <row r="10">
          <cell r="I10">
            <v>4727.2371775601951</v>
          </cell>
        </row>
        <row r="11">
          <cell r="I11">
            <v>5223.1012391859922</v>
          </cell>
        </row>
        <row r="12">
          <cell r="I12">
            <v>8740.6550774203206</v>
          </cell>
        </row>
        <row r="13">
          <cell r="I13">
            <v>9668.5802857047638</v>
          </cell>
        </row>
        <row r="14">
          <cell r="I14">
            <v>14291.723696302297</v>
          </cell>
        </row>
        <row r="15">
          <cell r="I15">
            <v>20432.514421841828</v>
          </cell>
        </row>
        <row r="16">
          <cell r="I16">
            <v>54870.396830801859</v>
          </cell>
        </row>
        <row r="17">
          <cell r="I17">
            <v>54159.3301762474</v>
          </cell>
        </row>
        <row r="18">
          <cell r="I18">
            <v>78802.28116869682</v>
          </cell>
        </row>
        <row r="19">
          <cell r="I19">
            <v>132285.47887547431</v>
          </cell>
        </row>
        <row r="20">
          <cell r="I20">
            <v>236983.56057783792</v>
          </cell>
        </row>
        <row r="21">
          <cell r="I21">
            <v>91429.188180909259</v>
          </cell>
        </row>
        <row r="22">
          <cell r="I22">
            <v>152337.52342357399</v>
          </cell>
        </row>
        <row r="23">
          <cell r="I23">
            <v>131228.23199180118</v>
          </cell>
        </row>
        <row r="24">
          <cell r="I24">
            <v>262273.89044112334</v>
          </cell>
        </row>
        <row r="25">
          <cell r="I25">
            <v>176529.58495081554</v>
          </cell>
        </row>
        <row r="26">
          <cell r="I26">
            <v>231616.09690836849</v>
          </cell>
        </row>
        <row r="27">
          <cell r="I27">
            <v>479958.94149110653</v>
          </cell>
        </row>
        <row r="28">
          <cell r="I28">
            <v>398608.79351569974</v>
          </cell>
        </row>
        <row r="29">
          <cell r="I29">
            <v>701610.97957249463</v>
          </cell>
        </row>
        <row r="30">
          <cell r="I30">
            <v>1126867.8361314549</v>
          </cell>
        </row>
        <row r="31">
          <cell r="I31">
            <v>476876.41701146617</v>
          </cell>
        </row>
        <row r="32">
          <cell r="I32">
            <v>308001.47785766143</v>
          </cell>
        </row>
        <row r="33">
          <cell r="I33">
            <v>426702.35380269418</v>
          </cell>
        </row>
        <row r="34">
          <cell r="I34">
            <v>202876.3967295594</v>
          </cell>
        </row>
        <row r="35">
          <cell r="I35">
            <v>93459.502568722673</v>
          </cell>
        </row>
        <row r="36">
          <cell r="I36">
            <v>216608.40023127865</v>
          </cell>
        </row>
        <row r="37">
          <cell r="I37">
            <v>287935.23721343797</v>
          </cell>
        </row>
        <row r="38">
          <cell r="I38">
            <v>132632.87589967286</v>
          </cell>
        </row>
        <row r="39">
          <cell r="I39">
            <v>86125.128798476551</v>
          </cell>
        </row>
        <row r="40">
          <cell r="I40">
            <v>133080.43257170249</v>
          </cell>
        </row>
        <row r="41">
          <cell r="I41">
            <v>434890.7709564846</v>
          </cell>
        </row>
        <row r="42">
          <cell r="I42">
            <v>580943.99789545033</v>
          </cell>
        </row>
        <row r="43">
          <cell r="I43">
            <v>448174.59302489471</v>
          </cell>
        </row>
        <row r="44">
          <cell r="I44">
            <v>493521.65238291811</v>
          </cell>
        </row>
        <row r="45">
          <cell r="I45">
            <v>395559.01635974797</v>
          </cell>
        </row>
      </sheetData>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CBRSalmon/AWL/CatchbyAge_Sock.xls" TargetMode="External"/><Relationship Id="rId7" Type="http://schemas.openxmlformats.org/officeDocument/2006/relationships/hyperlink" Target="../CBRSalmon/CATCH/Commercial/Sockeye/CR_Sockeye_Daily_Harvest.xls" TargetMode="External"/><Relationship Id="rId2" Type="http://schemas.openxmlformats.org/officeDocument/2006/relationships/hyperlink" Target="../CBRSalmon/AWL/CatchbyAge_Sock.xls" TargetMode="External"/><Relationship Id="rId1" Type="http://schemas.openxmlformats.org/officeDocument/2006/relationships/hyperlink" Target="../CBRSalmon/AWL/CatchbyAge_Sock.xls" TargetMode="External"/><Relationship Id="rId6" Type="http://schemas.openxmlformats.org/officeDocument/2006/relationships/hyperlink" Target="../CBRSalmon/ESCAPE/Sonar/Miles_Lake_Sonar_Anticipated_&amp;_Actual_1978-2006.xls" TargetMode="External"/><Relationship Id="rId11" Type="http://schemas.openxmlformats.org/officeDocument/2006/relationships/comments" Target="../comments1.xml"/><Relationship Id="rId5" Type="http://schemas.openxmlformats.org/officeDocument/2006/relationships/hyperlink" Target="../CBRSalmon/HATCHERY/CONTRIB/Gulkana%20Contributions%201974-2007.xls" TargetMode="External"/><Relationship Id="rId10" Type="http://schemas.openxmlformats.org/officeDocument/2006/relationships/vmlDrawing" Target="../drawings/vmlDrawing1.vml"/><Relationship Id="rId4" Type="http://schemas.openxmlformats.org/officeDocument/2006/relationships/hyperlink" Target="../CBRSalmon/HATCHERY/CONTRIB/Gulkana%20Contributions%201974-2007.xls" TargetMode="External"/><Relationship Id="rId9"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image" Target="../media/image2.emf"/><Relationship Id="rId2" Type="http://schemas.openxmlformats.org/officeDocument/2006/relationships/drawing" Target="../drawings/drawing15.xml"/><Relationship Id="rId1" Type="http://schemas.openxmlformats.org/officeDocument/2006/relationships/printerSettings" Target="../printerSettings/printerSettings1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3.emf"/><Relationship Id="rId4" Type="http://schemas.openxmlformats.org/officeDocument/2006/relationships/control" Target="../activeX/activeX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comments" Target="../comments8.xml"/><Relationship Id="rId5" Type="http://schemas.openxmlformats.org/officeDocument/2006/relationships/image" Target="../media/image4.emf"/><Relationship Id="rId4" Type="http://schemas.openxmlformats.org/officeDocument/2006/relationships/control" Target="../activeX/activeX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8.xml"/><Relationship Id="rId1" Type="http://schemas.openxmlformats.org/officeDocument/2006/relationships/printerSettings" Target="../printerSettings/printerSettings16.bin"/><Relationship Id="rId6" Type="http://schemas.openxmlformats.org/officeDocument/2006/relationships/comments" Target="../comments9.xml"/><Relationship Id="rId5" Type="http://schemas.openxmlformats.org/officeDocument/2006/relationships/image" Target="../media/image5.emf"/><Relationship Id="rId4" Type="http://schemas.openxmlformats.org/officeDocument/2006/relationships/control" Target="../activeX/activeX5.xml"/></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11.vml"/><Relationship Id="rId1" Type="http://schemas.openxmlformats.org/officeDocument/2006/relationships/drawing" Target="../drawings/drawing19.xml"/><Relationship Id="rId5" Type="http://schemas.openxmlformats.org/officeDocument/2006/relationships/comments" Target="../comments10.xml"/><Relationship Id="rId4" Type="http://schemas.openxmlformats.org/officeDocument/2006/relationships/image" Target="../media/image6.emf"/></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0.xml"/><Relationship Id="rId1" Type="http://schemas.openxmlformats.org/officeDocument/2006/relationships/printerSettings" Target="../printerSettings/printerSettings17.bin"/><Relationship Id="rId6" Type="http://schemas.openxmlformats.org/officeDocument/2006/relationships/comments" Target="../comments11.xml"/><Relationship Id="rId5" Type="http://schemas.openxmlformats.org/officeDocument/2006/relationships/image" Target="../media/image7.emf"/><Relationship Id="rId4" Type="http://schemas.openxmlformats.org/officeDocument/2006/relationships/control" Target="../activeX/activeX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1.xml"/><Relationship Id="rId1" Type="http://schemas.openxmlformats.org/officeDocument/2006/relationships/printerSettings" Target="../printerSettings/printerSettings18.bin"/><Relationship Id="rId5" Type="http://schemas.openxmlformats.org/officeDocument/2006/relationships/image" Target="../media/image8.emf"/><Relationship Id="rId4" Type="http://schemas.openxmlformats.org/officeDocument/2006/relationships/control" Target="../activeX/activeX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2.xml"/><Relationship Id="rId1" Type="http://schemas.openxmlformats.org/officeDocument/2006/relationships/printerSettings" Target="../printerSettings/printerSettings19.bin"/><Relationship Id="rId6" Type="http://schemas.openxmlformats.org/officeDocument/2006/relationships/comments" Target="../comments12.xml"/><Relationship Id="rId5" Type="http://schemas.openxmlformats.org/officeDocument/2006/relationships/image" Target="../media/image9.emf"/><Relationship Id="rId4" Type="http://schemas.openxmlformats.org/officeDocument/2006/relationships/control" Target="../activeX/activeX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3.xml"/><Relationship Id="rId1" Type="http://schemas.openxmlformats.org/officeDocument/2006/relationships/printerSettings" Target="../printerSettings/printerSettings20.bin"/><Relationship Id="rId6" Type="http://schemas.openxmlformats.org/officeDocument/2006/relationships/comments" Target="../comments13.xml"/><Relationship Id="rId5" Type="http://schemas.openxmlformats.org/officeDocument/2006/relationships/image" Target="../media/image10.emf"/><Relationship Id="rId4" Type="http://schemas.openxmlformats.org/officeDocument/2006/relationships/control" Target="../activeX/activeX1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4.xml"/><Relationship Id="rId1" Type="http://schemas.openxmlformats.org/officeDocument/2006/relationships/printerSettings" Target="../printerSettings/printerSettings21.bin"/><Relationship Id="rId6" Type="http://schemas.openxmlformats.org/officeDocument/2006/relationships/comments" Target="../comments14.xml"/><Relationship Id="rId5" Type="http://schemas.openxmlformats.org/officeDocument/2006/relationships/image" Target="../media/image11.emf"/><Relationship Id="rId4" Type="http://schemas.openxmlformats.org/officeDocument/2006/relationships/control" Target="../activeX/activeX1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5.xml"/><Relationship Id="rId1" Type="http://schemas.openxmlformats.org/officeDocument/2006/relationships/printerSettings" Target="../printerSettings/printerSettings22.bin"/><Relationship Id="rId6" Type="http://schemas.openxmlformats.org/officeDocument/2006/relationships/comments" Target="../comments15.xml"/><Relationship Id="rId5" Type="http://schemas.openxmlformats.org/officeDocument/2006/relationships/image" Target="../media/image12.emf"/><Relationship Id="rId4" Type="http://schemas.openxmlformats.org/officeDocument/2006/relationships/control" Target="../activeX/activeX1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6.xml"/><Relationship Id="rId1" Type="http://schemas.openxmlformats.org/officeDocument/2006/relationships/printerSettings" Target="../printerSettings/printerSettings23.bin"/><Relationship Id="rId6" Type="http://schemas.openxmlformats.org/officeDocument/2006/relationships/comments" Target="../comments16.xml"/><Relationship Id="rId5" Type="http://schemas.openxmlformats.org/officeDocument/2006/relationships/image" Target="../media/image13.emf"/><Relationship Id="rId4" Type="http://schemas.openxmlformats.org/officeDocument/2006/relationships/control" Target="../activeX/activeX1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7.xml"/><Relationship Id="rId1" Type="http://schemas.openxmlformats.org/officeDocument/2006/relationships/printerSettings" Target="../printerSettings/printerSettings24.bin"/><Relationship Id="rId6" Type="http://schemas.openxmlformats.org/officeDocument/2006/relationships/comments" Target="../comments17.xml"/><Relationship Id="rId5" Type="http://schemas.openxmlformats.org/officeDocument/2006/relationships/image" Target="../media/image14.emf"/><Relationship Id="rId4" Type="http://schemas.openxmlformats.org/officeDocument/2006/relationships/control" Target="../activeX/activeX1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transitionEntry="1" codeName="Sheet1">
    <pageSetUpPr fitToPage="1"/>
  </sheetPr>
  <dimension ref="A1:J39"/>
  <sheetViews>
    <sheetView zoomScale="75" workbookViewId="0"/>
  </sheetViews>
  <sheetFormatPr defaultColWidth="9.6640625" defaultRowHeight="15"/>
  <cols>
    <col min="1" max="1" width="13.109375" customWidth="1"/>
    <col min="2" max="2" width="11.33203125" bestFit="1" customWidth="1"/>
    <col min="3" max="3" width="4.6640625" customWidth="1"/>
  </cols>
  <sheetData>
    <row r="1" spans="1:10">
      <c r="A1" t="s">
        <v>0</v>
      </c>
      <c r="B1" s="440" t="str">
        <f ca="1">CELL("filename",B2)</f>
        <v>O:\DCF\SALMON\FORECAST\2015\[2015_Copper River Wild Sockeye forecast_FINAL.xlsm]Notes</v>
      </c>
      <c r="G1" t="s">
        <v>1</v>
      </c>
    </row>
    <row r="2" spans="1:10">
      <c r="A2" t="s">
        <v>4</v>
      </c>
      <c r="B2" s="1">
        <f ca="1">NOW()</f>
        <v>42055.515668171298</v>
      </c>
      <c r="G2" t="s">
        <v>2</v>
      </c>
    </row>
    <row r="3" spans="1:10">
      <c r="G3" t="s">
        <v>3</v>
      </c>
    </row>
    <row r="4" spans="1:10">
      <c r="A4" t="s">
        <v>5</v>
      </c>
    </row>
    <row r="5" spans="1:10" ht="18.75">
      <c r="A5" s="598" t="s">
        <v>8</v>
      </c>
      <c r="B5" t="s">
        <v>7</v>
      </c>
    </row>
    <row r="6" spans="1:10">
      <c r="A6" s="517" t="s">
        <v>6</v>
      </c>
      <c r="B6" t="s">
        <v>255</v>
      </c>
    </row>
    <row r="7" spans="1:10">
      <c r="A7" s="251" t="s">
        <v>9</v>
      </c>
      <c r="B7" t="s">
        <v>10</v>
      </c>
    </row>
    <row r="8" spans="1:10">
      <c r="A8" s="252" t="s">
        <v>11</v>
      </c>
      <c r="B8" t="s">
        <v>12</v>
      </c>
    </row>
    <row r="9" spans="1:10">
      <c r="A9" s="253" t="s">
        <v>13</v>
      </c>
      <c r="B9" t="s">
        <v>14</v>
      </c>
    </row>
    <row r="10" spans="1:10">
      <c r="A10" s="254" t="s">
        <v>15</v>
      </c>
      <c r="B10" t="s">
        <v>16</v>
      </c>
    </row>
    <row r="13" spans="1:10" ht="23.25">
      <c r="A13" s="3" t="s">
        <v>17</v>
      </c>
      <c r="B13" s="3"/>
      <c r="C13" s="4"/>
      <c r="D13" s="4"/>
      <c r="E13" s="3" t="s">
        <v>18</v>
      </c>
      <c r="F13" s="4"/>
      <c r="G13" s="5"/>
      <c r="H13" s="5"/>
      <c r="I13" s="5"/>
      <c r="J13" s="6"/>
    </row>
    <row r="14" spans="1:10" ht="15.75">
      <c r="A14" s="4"/>
      <c r="B14" s="4"/>
      <c r="C14" s="4"/>
      <c r="D14" s="4"/>
      <c r="E14" s="4"/>
      <c r="F14" s="4"/>
      <c r="G14" s="5"/>
      <c r="H14" s="5"/>
      <c r="I14" s="5"/>
      <c r="J14" s="6"/>
    </row>
    <row r="15" spans="1:10" ht="18.75">
      <c r="A15" s="4"/>
      <c r="B15" s="276" t="s">
        <v>20</v>
      </c>
      <c r="C15" s="276"/>
      <c r="D15" s="276" t="s">
        <v>275</v>
      </c>
      <c r="E15" s="4"/>
      <c r="F15" s="4"/>
      <c r="G15" s="5"/>
      <c r="H15" s="5"/>
      <c r="I15" s="5"/>
      <c r="J15" s="6"/>
    </row>
    <row r="16" spans="1:10" ht="18.75">
      <c r="A16" s="4"/>
      <c r="B16" s="276"/>
      <c r="C16" s="276"/>
      <c r="D16" s="276" t="s">
        <v>276</v>
      </c>
      <c r="E16" s="4"/>
      <c r="F16" s="4"/>
      <c r="G16" s="5"/>
      <c r="H16" s="5"/>
      <c r="I16" s="5"/>
      <c r="J16" s="6"/>
    </row>
    <row r="17" spans="1:10" ht="18.75">
      <c r="A17" s="4"/>
      <c r="B17" s="276"/>
      <c r="C17" s="276"/>
      <c r="D17" s="276" t="s">
        <v>277</v>
      </c>
      <c r="E17" s="4"/>
      <c r="F17" s="4"/>
      <c r="G17" s="5"/>
      <c r="H17" s="5"/>
      <c r="I17" s="5"/>
      <c r="J17" s="6"/>
    </row>
    <row r="18" spans="1:10" ht="18.75">
      <c r="A18" s="4"/>
      <c r="B18" s="276"/>
      <c r="C18" s="276"/>
      <c r="D18" s="276" t="s">
        <v>259</v>
      </c>
      <c r="E18" s="4"/>
      <c r="F18" s="4"/>
      <c r="G18" s="5"/>
      <c r="H18" s="5"/>
      <c r="I18" s="5"/>
      <c r="J18" s="6"/>
    </row>
    <row r="19" spans="1:10" ht="18.75">
      <c r="A19" s="4"/>
      <c r="B19" s="276"/>
      <c r="C19" s="276"/>
      <c r="D19" s="276" t="s">
        <v>260</v>
      </c>
      <c r="E19" s="4"/>
      <c r="F19" s="4"/>
      <c r="G19" s="5"/>
      <c r="H19" s="5"/>
      <c r="I19" s="5"/>
      <c r="J19" s="6"/>
    </row>
    <row r="20" spans="1:10" ht="18.75">
      <c r="A20" s="4"/>
      <c r="B20" s="276"/>
      <c r="C20" s="276"/>
      <c r="D20" s="276"/>
      <c r="E20" s="4"/>
      <c r="F20" s="4"/>
      <c r="G20" s="5"/>
      <c r="H20" s="5"/>
      <c r="I20" s="5"/>
      <c r="J20" s="6"/>
    </row>
    <row r="21" spans="1:10" ht="18.75">
      <c r="A21" s="4"/>
      <c r="B21" s="276" t="s">
        <v>19</v>
      </c>
      <c r="C21" s="276"/>
      <c r="D21" s="276" t="s">
        <v>278</v>
      </c>
      <c r="E21" s="4"/>
      <c r="F21" s="4"/>
      <c r="G21" s="5"/>
      <c r="H21" s="5"/>
      <c r="I21" s="5"/>
      <c r="J21" s="6"/>
    </row>
    <row r="22" spans="1:10" ht="18.75">
      <c r="A22" s="4"/>
      <c r="B22" s="276"/>
      <c r="C22" s="277"/>
      <c r="D22" s="278"/>
      <c r="E22" s="4"/>
      <c r="F22" s="4"/>
      <c r="G22" s="5"/>
      <c r="H22" s="5"/>
      <c r="I22" s="5"/>
      <c r="J22" s="6"/>
    </row>
    <row r="23" spans="1:10" ht="18.75">
      <c r="A23" s="4"/>
      <c r="B23" s="276"/>
      <c r="C23" s="276"/>
      <c r="D23" s="276" t="s">
        <v>279</v>
      </c>
      <c r="E23" s="4"/>
      <c r="F23" s="4"/>
      <c r="G23" s="5"/>
      <c r="H23" s="5"/>
      <c r="I23" s="5"/>
      <c r="J23" s="6"/>
    </row>
    <row r="24" spans="1:10" ht="18.75">
      <c r="A24" s="4"/>
      <c r="B24" s="276"/>
      <c r="C24" s="277"/>
      <c r="D24" s="279"/>
      <c r="E24" s="4"/>
      <c r="F24" s="4"/>
      <c r="G24" s="5"/>
      <c r="H24" s="5"/>
      <c r="I24" s="5"/>
      <c r="J24" s="6"/>
    </row>
    <row r="25" spans="1:10" ht="18.75">
      <c r="A25" s="4"/>
      <c r="B25" s="276"/>
      <c r="C25" s="276"/>
      <c r="D25" s="280" t="s">
        <v>280</v>
      </c>
      <c r="E25" s="4"/>
      <c r="F25" s="4"/>
      <c r="G25" s="5"/>
      <c r="H25" s="5"/>
      <c r="I25" s="5"/>
      <c r="J25" s="6"/>
    </row>
    <row r="26" spans="1:10" ht="18.75">
      <c r="A26" s="4"/>
      <c r="B26" s="276"/>
      <c r="C26" s="276"/>
      <c r="D26" s="276"/>
      <c r="E26" s="4"/>
      <c r="F26" s="4"/>
      <c r="G26" s="5"/>
      <c r="H26" s="5"/>
      <c r="I26" s="5"/>
      <c r="J26" s="6"/>
    </row>
    <row r="27" spans="1:10" ht="18.75">
      <c r="A27" s="4"/>
      <c r="B27" s="276"/>
      <c r="C27" s="276"/>
      <c r="D27" s="280" t="s">
        <v>281</v>
      </c>
      <c r="E27" s="4"/>
      <c r="F27" s="4"/>
      <c r="G27" s="5"/>
      <c r="H27" s="5"/>
      <c r="I27" s="5"/>
      <c r="J27" s="6"/>
    </row>
    <row r="28" spans="1:10" ht="18.75">
      <c r="A28" s="7"/>
      <c r="B28" s="276"/>
      <c r="C28" s="276"/>
      <c r="D28" s="276"/>
      <c r="E28" s="4"/>
      <c r="F28" s="4"/>
      <c r="G28" s="8"/>
      <c r="H28" s="8"/>
      <c r="I28" s="8"/>
    </row>
    <row r="29" spans="1:10" ht="18.75">
      <c r="A29" s="7"/>
      <c r="B29" s="276" t="s">
        <v>261</v>
      </c>
      <c r="C29" s="276"/>
      <c r="D29" s="276" t="s">
        <v>262</v>
      </c>
      <c r="E29" s="4"/>
      <c r="F29" s="4"/>
    </row>
    <row r="30" spans="1:10" ht="18.75">
      <c r="A30" s="7"/>
      <c r="B30" s="276"/>
      <c r="C30" s="276"/>
      <c r="D30" s="60" t="s">
        <v>282</v>
      </c>
      <c r="E30" s="4"/>
      <c r="F30" s="4"/>
    </row>
    <row r="31" spans="1:10" ht="18.75">
      <c r="A31" s="7"/>
      <c r="B31" s="276"/>
      <c r="C31" s="276"/>
      <c r="D31" s="276" t="s">
        <v>283</v>
      </c>
      <c r="E31" s="4"/>
      <c r="F31" s="4"/>
    </row>
    <row r="32" spans="1:10" ht="18.75">
      <c r="B32" s="60"/>
      <c r="C32" s="60"/>
      <c r="D32" s="60"/>
      <c r="E32" s="6"/>
      <c r="F32" s="6"/>
    </row>
    <row r="33" spans="2:6" ht="18.75">
      <c r="B33" s="566" t="s">
        <v>263</v>
      </c>
      <c r="C33" s="565">
        <v>1</v>
      </c>
      <c r="D33" s="990" t="s">
        <v>265</v>
      </c>
      <c r="E33" s="6"/>
      <c r="F33" s="6"/>
    </row>
    <row r="34" spans="2:6" ht="18.75">
      <c r="B34" s="60"/>
      <c r="C34" s="565">
        <v>2</v>
      </c>
      <c r="D34" s="60" t="s">
        <v>264</v>
      </c>
      <c r="E34" s="6"/>
      <c r="F34" s="6"/>
    </row>
    <row r="35" spans="2:6" ht="18.75">
      <c r="B35" s="60"/>
      <c r="C35" s="565">
        <v>3</v>
      </c>
      <c r="D35" s="60" t="s">
        <v>266</v>
      </c>
      <c r="E35" s="6"/>
      <c r="F35" s="6"/>
    </row>
    <row r="36" spans="2:6" ht="18.75">
      <c r="B36" s="60"/>
      <c r="C36" s="565">
        <v>4</v>
      </c>
      <c r="D36" s="60" t="s">
        <v>267</v>
      </c>
      <c r="E36" s="6"/>
      <c r="F36" s="6"/>
    </row>
    <row r="37" spans="2:6" ht="18.75">
      <c r="B37" s="60"/>
      <c r="C37" s="565">
        <v>5</v>
      </c>
      <c r="D37" s="60" t="s">
        <v>343</v>
      </c>
      <c r="E37" s="6"/>
      <c r="F37" s="6"/>
    </row>
    <row r="38" spans="2:6" ht="18.75">
      <c r="B38" s="60"/>
      <c r="C38" s="565">
        <v>6</v>
      </c>
      <c r="D38" s="60" t="s">
        <v>353</v>
      </c>
      <c r="E38" s="6"/>
      <c r="F38" s="6"/>
    </row>
    <row r="39" spans="2:6" ht="18.75">
      <c r="B39" s="60"/>
      <c r="C39" s="565">
        <v>7</v>
      </c>
      <c r="D39" s="60" t="s">
        <v>268</v>
      </c>
      <c r="E39" s="6"/>
      <c r="F39" s="6"/>
    </row>
  </sheetData>
  <phoneticPr fontId="60" type="noConversion"/>
  <printOptions horizontalCentered="1"/>
  <pageMargins left="0.5" right="0" top="1" bottom="0.5" header="0.5" footer="0.5"/>
  <pageSetup scale="54" orientation="landscape" horizontalDpi="300" verticalDpi="3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C24"/>
  <sheetViews>
    <sheetView workbookViewId="0"/>
  </sheetViews>
  <sheetFormatPr defaultRowHeight="15"/>
  <cols>
    <col min="1" max="1" width="9.5546875" style="789" customWidth="1"/>
    <col min="2" max="2" width="37.6640625" style="789" customWidth="1"/>
    <col min="3" max="3" width="15.44140625" style="789" customWidth="1"/>
    <col min="4" max="16384" width="8.88671875" style="789"/>
  </cols>
  <sheetData>
    <row r="1" spans="1:3">
      <c r="A1" s="788" t="str">
        <f ca="1">CELL("filename",A1)</f>
        <v>O:\DCF\SALMON\FORECAST\2015\[2015_Copper River Wild Sockeye forecast_FINAL.xlsm]Models</v>
      </c>
    </row>
    <row r="3" spans="1:3" ht="25.5">
      <c r="A3" s="790" t="s">
        <v>416</v>
      </c>
    </row>
    <row r="4" spans="1:3" ht="25.5">
      <c r="A4" s="790"/>
    </row>
    <row r="5" spans="1:3">
      <c r="A5" s="982" t="s">
        <v>284</v>
      </c>
      <c r="B5" s="982"/>
      <c r="C5" s="982"/>
    </row>
    <row r="6" spans="1:3">
      <c r="A6" s="983" t="s">
        <v>417</v>
      </c>
      <c r="B6" s="983"/>
      <c r="C6" s="983" t="s">
        <v>559</v>
      </c>
    </row>
    <row r="7" spans="1:3">
      <c r="A7" s="983" t="s">
        <v>418</v>
      </c>
      <c r="B7" s="983"/>
      <c r="C7" s="983"/>
    </row>
    <row r="8" spans="1:3">
      <c r="A8" s="983" t="s">
        <v>419</v>
      </c>
      <c r="B8" s="983"/>
      <c r="C8" s="983"/>
    </row>
    <row r="9" spans="1:3">
      <c r="A9" s="983" t="s">
        <v>420</v>
      </c>
      <c r="B9" s="983"/>
      <c r="C9" s="983"/>
    </row>
    <row r="10" spans="1:3">
      <c r="A10" s="983" t="s">
        <v>421</v>
      </c>
      <c r="B10" s="983"/>
      <c r="C10" s="983" t="s">
        <v>559</v>
      </c>
    </row>
    <row r="11" spans="1:3">
      <c r="A11" s="983" t="s">
        <v>422</v>
      </c>
      <c r="B11" s="983"/>
      <c r="C11" s="983"/>
    </row>
    <row r="12" spans="1:3">
      <c r="A12" s="983"/>
      <c r="B12" s="983" t="s">
        <v>423</v>
      </c>
      <c r="C12" s="983"/>
    </row>
    <row r="13" spans="1:3">
      <c r="A13" s="984" t="s">
        <v>432</v>
      </c>
      <c r="B13" s="983"/>
      <c r="C13" s="983"/>
    </row>
    <row r="14" spans="1:3">
      <c r="A14" s="983"/>
      <c r="B14" s="983"/>
      <c r="C14" s="983"/>
    </row>
    <row r="15" spans="1:3">
      <c r="A15" s="983" t="s">
        <v>424</v>
      </c>
      <c r="B15" s="983"/>
      <c r="C15" s="983"/>
    </row>
    <row r="16" spans="1:3">
      <c r="A16" s="983"/>
      <c r="B16" s="983" t="s">
        <v>425</v>
      </c>
      <c r="C16" s="983"/>
    </row>
    <row r="17" spans="1:3">
      <c r="A17" s="983"/>
      <c r="B17" s="983" t="s">
        <v>426</v>
      </c>
      <c r="C17" s="983" t="s">
        <v>560</v>
      </c>
    </row>
    <row r="18" spans="1:3">
      <c r="A18" s="983"/>
      <c r="B18" s="983" t="s">
        <v>427</v>
      </c>
      <c r="C18" s="983"/>
    </row>
    <row r="19" spans="1:3">
      <c r="A19" s="983"/>
      <c r="B19" s="983"/>
      <c r="C19" s="983"/>
    </row>
    <row r="20" spans="1:3">
      <c r="A20" s="984" t="s">
        <v>431</v>
      </c>
      <c r="B20" s="983"/>
      <c r="C20" s="983"/>
    </row>
    <row r="21" spans="1:3">
      <c r="A21" s="983"/>
      <c r="B21" s="984" t="s">
        <v>428</v>
      </c>
      <c r="C21" s="983"/>
    </row>
    <row r="22" spans="1:3">
      <c r="A22" s="983"/>
      <c r="B22" s="984" t="s">
        <v>429</v>
      </c>
      <c r="C22" s="983"/>
    </row>
    <row r="23" spans="1:3">
      <c r="A23" s="983"/>
      <c r="B23" s="984" t="s">
        <v>430</v>
      </c>
      <c r="C23" s="983"/>
    </row>
    <row r="24" spans="1:3">
      <c r="A24" s="985"/>
      <c r="B24" s="985" t="s">
        <v>549</v>
      </c>
      <c r="C24" s="985"/>
    </row>
  </sheetData>
  <phoneticPr fontId="8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34"/>
  <sheetViews>
    <sheetView zoomScale="70" workbookViewId="0">
      <pane ySplit="4" topLeftCell="A5" activePane="bottomLeft" state="frozen"/>
      <selection activeCell="W48" sqref="W48"/>
      <selection pane="bottomLeft" activeCell="H24" sqref="H24"/>
    </sheetView>
  </sheetViews>
  <sheetFormatPr defaultRowHeight="15"/>
  <cols>
    <col min="1" max="1" width="2.21875" customWidth="1"/>
    <col min="2" max="2" width="2.88671875" customWidth="1"/>
    <col min="3" max="3" width="2.5546875" customWidth="1"/>
    <col min="4" max="4" width="4" customWidth="1"/>
    <col min="6" max="6" width="10.109375" customWidth="1"/>
    <col min="7" max="7" width="1.77734375" customWidth="1"/>
    <col min="8" max="8" width="10.21875" customWidth="1"/>
    <col min="10" max="10" width="124" customWidth="1"/>
  </cols>
  <sheetData>
    <row r="1" spans="1:10">
      <c r="A1" s="440" t="str">
        <f ca="1">CELL("filename",A1)</f>
        <v>O:\DCF\SALMON\FORECAST\2015\[2015_Copper River Wild Sockeye forecast_FINAL.xlsm]Uncertainty</v>
      </c>
    </row>
    <row r="2" spans="1:10" ht="23.25">
      <c r="A2" s="791" t="s">
        <v>472</v>
      </c>
    </row>
    <row r="3" spans="1:10" ht="23.25">
      <c r="A3" s="792"/>
      <c r="B3" s="655"/>
      <c r="C3" s="655"/>
      <c r="D3" s="655"/>
      <c r="E3" s="655"/>
      <c r="F3" s="655"/>
      <c r="G3" s="655"/>
      <c r="H3" s="406" t="s">
        <v>454</v>
      </c>
      <c r="I3" s="406"/>
      <c r="J3" s="655"/>
    </row>
    <row r="4" spans="1:10" ht="23.25">
      <c r="A4" s="793"/>
      <c r="B4" s="701" t="s">
        <v>450</v>
      </c>
      <c r="C4" s="701"/>
      <c r="D4" s="701"/>
      <c r="E4" s="701"/>
      <c r="F4" s="701"/>
      <c r="G4" s="701"/>
      <c r="H4" s="701" t="s">
        <v>455</v>
      </c>
      <c r="I4" s="701" t="s">
        <v>456</v>
      </c>
      <c r="J4" s="701"/>
    </row>
    <row r="5" spans="1:10" ht="15.75">
      <c r="A5" s="227"/>
      <c r="B5" s="986" t="s">
        <v>437</v>
      </c>
      <c r="C5" s="227"/>
      <c r="D5" s="227"/>
      <c r="E5" s="227"/>
      <c r="F5" s="227"/>
      <c r="G5" s="227"/>
      <c r="H5" s="227"/>
      <c r="I5" s="227"/>
      <c r="J5" s="227"/>
    </row>
    <row r="6" spans="1:10">
      <c r="A6" s="227"/>
      <c r="B6" s="227"/>
      <c r="C6" s="227" t="s">
        <v>440</v>
      </c>
      <c r="D6" s="227"/>
      <c r="E6" s="227"/>
      <c r="F6" s="227"/>
      <c r="G6" s="227"/>
      <c r="H6" s="256" t="s">
        <v>452</v>
      </c>
      <c r="I6" s="256" t="s">
        <v>453</v>
      </c>
      <c r="J6" s="227" t="s">
        <v>475</v>
      </c>
    </row>
    <row r="7" spans="1:10">
      <c r="A7" s="227"/>
      <c r="B7" s="227"/>
      <c r="C7" s="227" t="s">
        <v>441</v>
      </c>
      <c r="D7" s="227"/>
      <c r="E7" s="227"/>
      <c r="F7" s="227"/>
      <c r="G7" s="227"/>
      <c r="H7" s="256" t="s">
        <v>452</v>
      </c>
      <c r="I7" s="256" t="s">
        <v>453</v>
      </c>
      <c r="J7" s="227" t="s">
        <v>459</v>
      </c>
    </row>
    <row r="8" spans="1:10">
      <c r="A8" s="227"/>
      <c r="B8" s="227"/>
      <c r="C8" s="227" t="s">
        <v>439</v>
      </c>
      <c r="D8" s="227"/>
      <c r="E8" s="227"/>
      <c r="F8" s="227"/>
      <c r="G8" s="227"/>
      <c r="H8" s="256" t="s">
        <v>452</v>
      </c>
      <c r="I8" s="256" t="s">
        <v>453</v>
      </c>
      <c r="J8" s="227" t="s">
        <v>460</v>
      </c>
    </row>
    <row r="9" spans="1:10">
      <c r="A9" s="227"/>
      <c r="B9" s="227"/>
      <c r="C9" s="227" t="s">
        <v>442</v>
      </c>
      <c r="D9" s="227"/>
      <c r="E9" s="227"/>
      <c r="F9" s="227"/>
      <c r="G9" s="227"/>
      <c r="H9" s="256" t="s">
        <v>452</v>
      </c>
      <c r="I9" s="256" t="s">
        <v>453</v>
      </c>
      <c r="J9" s="227" t="s">
        <v>460</v>
      </c>
    </row>
    <row r="10" spans="1:10">
      <c r="A10" s="227"/>
      <c r="B10" s="227"/>
      <c r="C10" s="227" t="s">
        <v>443</v>
      </c>
      <c r="D10" s="227"/>
      <c r="E10" s="227"/>
      <c r="F10" s="227"/>
      <c r="G10" s="227"/>
      <c r="H10" s="256" t="s">
        <v>457</v>
      </c>
      <c r="I10" s="256" t="s">
        <v>453</v>
      </c>
      <c r="J10" s="227" t="s">
        <v>461</v>
      </c>
    </row>
    <row r="11" spans="1:10">
      <c r="A11" s="227"/>
      <c r="B11" s="227"/>
      <c r="C11" s="227"/>
      <c r="D11" s="227"/>
      <c r="E11" s="227"/>
      <c r="F11" s="227"/>
      <c r="G11" s="227"/>
      <c r="H11" s="256"/>
      <c r="I11" s="256"/>
      <c r="J11" s="227"/>
    </row>
    <row r="12" spans="1:10" ht="15.75">
      <c r="A12" s="227"/>
      <c r="B12" s="986" t="s">
        <v>438</v>
      </c>
      <c r="C12" s="227"/>
      <c r="D12" s="227"/>
      <c r="E12" s="227"/>
      <c r="F12" s="227"/>
      <c r="G12" s="227"/>
      <c r="H12" s="256"/>
      <c r="I12" s="256"/>
      <c r="J12" s="227"/>
    </row>
    <row r="13" spans="1:10">
      <c r="A13" s="227"/>
      <c r="B13" s="227"/>
      <c r="C13" s="227" t="s">
        <v>434</v>
      </c>
      <c r="D13" s="227"/>
      <c r="E13" s="227"/>
      <c r="F13" s="227"/>
      <c r="G13" s="227"/>
      <c r="H13" s="256" t="s">
        <v>452</v>
      </c>
      <c r="I13" s="256" t="s">
        <v>458</v>
      </c>
      <c r="J13" s="227" t="s">
        <v>462</v>
      </c>
    </row>
    <row r="14" spans="1:10">
      <c r="A14" s="227"/>
      <c r="B14" s="227"/>
      <c r="C14" s="227" t="s">
        <v>435</v>
      </c>
      <c r="D14" s="227"/>
      <c r="E14" s="227"/>
      <c r="F14" s="227"/>
      <c r="G14" s="227"/>
      <c r="H14" s="256" t="s">
        <v>452</v>
      </c>
      <c r="I14" s="256" t="s">
        <v>453</v>
      </c>
      <c r="J14" s="227" t="s">
        <v>463</v>
      </c>
    </row>
    <row r="15" spans="1:10">
      <c r="A15" s="227"/>
      <c r="B15" s="227"/>
      <c r="C15" s="227" t="s">
        <v>451</v>
      </c>
      <c r="D15" s="227"/>
      <c r="E15" s="227"/>
      <c r="F15" s="227"/>
      <c r="G15" s="227"/>
      <c r="H15" s="256" t="s">
        <v>453</v>
      </c>
      <c r="I15" s="256" t="s">
        <v>359</v>
      </c>
      <c r="J15" s="227" t="s">
        <v>464</v>
      </c>
    </row>
    <row r="16" spans="1:10">
      <c r="A16" s="227"/>
      <c r="B16" s="227"/>
      <c r="C16" s="227"/>
      <c r="D16" s="227"/>
      <c r="E16" s="227"/>
      <c r="F16" s="227"/>
      <c r="G16" s="227"/>
      <c r="H16" s="256"/>
      <c r="I16" s="256"/>
      <c r="J16" s="227"/>
    </row>
    <row r="17" spans="1:10" ht="15.75">
      <c r="A17" s="227"/>
      <c r="B17" s="986" t="s">
        <v>436</v>
      </c>
      <c r="C17" s="227"/>
      <c r="D17" s="227"/>
      <c r="E17" s="227"/>
      <c r="F17" s="227"/>
      <c r="G17" s="227"/>
      <c r="H17" s="256"/>
      <c r="I17" s="256"/>
      <c r="J17" s="227"/>
    </row>
    <row r="18" spans="1:10">
      <c r="A18" s="227"/>
      <c r="B18" s="227"/>
      <c r="C18" s="227" t="s">
        <v>366</v>
      </c>
      <c r="D18" s="227"/>
      <c r="E18" s="227"/>
      <c r="F18" s="227"/>
      <c r="G18" s="227"/>
      <c r="H18" s="256"/>
      <c r="I18" s="256"/>
      <c r="J18" s="227"/>
    </row>
    <row r="19" spans="1:10">
      <c r="A19" s="227"/>
      <c r="B19" s="227"/>
      <c r="C19" s="227"/>
      <c r="D19" s="227" t="s">
        <v>440</v>
      </c>
      <c r="E19" s="227"/>
      <c r="F19" s="227"/>
      <c r="G19" s="227"/>
      <c r="H19" s="256" t="s">
        <v>453</v>
      </c>
      <c r="I19" s="256" t="s">
        <v>359</v>
      </c>
      <c r="J19" s="227" t="s">
        <v>465</v>
      </c>
    </row>
    <row r="20" spans="1:10">
      <c r="A20" s="227"/>
      <c r="B20" s="227"/>
      <c r="C20" s="227"/>
      <c r="D20" s="227" t="s">
        <v>439</v>
      </c>
      <c r="E20" s="227"/>
      <c r="F20" s="227"/>
      <c r="G20" s="227"/>
      <c r="H20" s="256" t="s">
        <v>453</v>
      </c>
      <c r="I20" s="256" t="s">
        <v>359</v>
      </c>
      <c r="J20" s="227" t="s">
        <v>465</v>
      </c>
    </row>
    <row r="21" spans="1:10">
      <c r="A21" s="227"/>
      <c r="B21" s="227"/>
      <c r="C21" s="227"/>
      <c r="D21" s="227" t="s">
        <v>444</v>
      </c>
      <c r="E21" s="227"/>
      <c r="F21" s="227"/>
      <c r="G21" s="227"/>
      <c r="H21" s="256" t="s">
        <v>453</v>
      </c>
      <c r="I21" s="256" t="s">
        <v>359</v>
      </c>
      <c r="J21" s="227" t="s">
        <v>465</v>
      </c>
    </row>
    <row r="22" spans="1:10">
      <c r="A22" s="227"/>
      <c r="B22" s="227"/>
      <c r="C22" s="227" t="s">
        <v>132</v>
      </c>
      <c r="D22" s="227"/>
      <c r="E22" s="227"/>
      <c r="F22" s="227"/>
      <c r="G22" s="227"/>
      <c r="H22" s="256"/>
      <c r="I22" s="256"/>
      <c r="J22" s="227"/>
    </row>
    <row r="23" spans="1:10">
      <c r="A23" s="227"/>
      <c r="B23" s="227"/>
      <c r="C23" s="227"/>
      <c r="D23" s="227" t="s">
        <v>445</v>
      </c>
      <c r="E23" s="227"/>
      <c r="F23" s="227"/>
      <c r="G23" s="227"/>
      <c r="H23" s="256"/>
      <c r="I23" s="256"/>
      <c r="J23" s="227"/>
    </row>
    <row r="24" spans="1:10">
      <c r="A24" s="227"/>
      <c r="B24" s="227"/>
      <c r="C24" s="227"/>
      <c r="D24" s="227"/>
      <c r="E24" s="227" t="s">
        <v>446</v>
      </c>
      <c r="F24" s="227"/>
      <c r="G24" s="227"/>
      <c r="H24" s="256" t="s">
        <v>452</v>
      </c>
      <c r="I24" s="256" t="s">
        <v>453</v>
      </c>
      <c r="J24" s="227" t="s">
        <v>466</v>
      </c>
    </row>
    <row r="25" spans="1:10">
      <c r="A25" s="227"/>
      <c r="B25" s="227"/>
      <c r="C25" s="227"/>
      <c r="D25" s="227"/>
      <c r="E25" s="227" t="s">
        <v>447</v>
      </c>
      <c r="F25" s="227"/>
      <c r="G25" s="227"/>
      <c r="H25" s="256" t="s">
        <v>452</v>
      </c>
      <c r="I25" s="256" t="s">
        <v>453</v>
      </c>
      <c r="J25" s="227" t="s">
        <v>467</v>
      </c>
    </row>
    <row r="26" spans="1:10">
      <c r="A26" s="227"/>
      <c r="B26" s="227"/>
      <c r="C26" s="227"/>
      <c r="D26" s="227"/>
      <c r="E26" s="227" t="s">
        <v>53</v>
      </c>
      <c r="F26" s="227"/>
      <c r="G26" s="227"/>
      <c r="H26" s="256" t="s">
        <v>452</v>
      </c>
      <c r="I26" s="256" t="s">
        <v>453</v>
      </c>
      <c r="J26" s="227" t="s">
        <v>467</v>
      </c>
    </row>
    <row r="27" spans="1:10">
      <c r="A27" s="227"/>
      <c r="B27" s="227"/>
      <c r="C27" s="227"/>
      <c r="D27" s="227" t="s">
        <v>297</v>
      </c>
      <c r="E27" s="227"/>
      <c r="F27" s="227"/>
      <c r="G27" s="227"/>
      <c r="H27" s="256" t="s">
        <v>452</v>
      </c>
      <c r="I27" s="256" t="s">
        <v>453</v>
      </c>
      <c r="J27" s="227" t="s">
        <v>466</v>
      </c>
    </row>
    <row r="28" spans="1:10">
      <c r="A28" s="227"/>
      <c r="B28" s="227"/>
      <c r="C28" s="227"/>
      <c r="D28" s="227"/>
      <c r="E28" s="227"/>
      <c r="F28" s="227"/>
      <c r="G28" s="227"/>
      <c r="H28" s="256"/>
      <c r="I28" s="256"/>
      <c r="J28" s="227"/>
    </row>
    <row r="29" spans="1:10" ht="15.75">
      <c r="A29" s="227"/>
      <c r="B29" s="986" t="s">
        <v>433</v>
      </c>
      <c r="C29" s="227"/>
      <c r="D29" s="227"/>
      <c r="E29" s="227"/>
      <c r="F29" s="227"/>
      <c r="G29" s="227"/>
      <c r="H29" s="256"/>
      <c r="I29" s="256"/>
      <c r="J29" s="227"/>
    </row>
    <row r="30" spans="1:10">
      <c r="A30" s="227"/>
      <c r="B30" s="227"/>
      <c r="C30" s="227" t="s">
        <v>448</v>
      </c>
      <c r="D30" s="227"/>
      <c r="E30" s="227"/>
      <c r="F30" s="227"/>
      <c r="G30" s="227"/>
      <c r="H30" s="256" t="s">
        <v>471</v>
      </c>
      <c r="I30" s="256" t="s">
        <v>453</v>
      </c>
      <c r="J30" s="227" t="s">
        <v>468</v>
      </c>
    </row>
    <row r="31" spans="1:10">
      <c r="A31" s="227"/>
      <c r="B31" s="227"/>
      <c r="C31" s="227" t="s">
        <v>449</v>
      </c>
      <c r="D31" s="227"/>
      <c r="E31" s="227"/>
      <c r="F31" s="227"/>
      <c r="G31" s="227"/>
      <c r="H31" s="256" t="s">
        <v>471</v>
      </c>
      <c r="I31" s="256" t="s">
        <v>453</v>
      </c>
      <c r="J31" s="227" t="s">
        <v>469</v>
      </c>
    </row>
    <row r="32" spans="1:10">
      <c r="A32" s="227"/>
      <c r="B32" s="227"/>
      <c r="C32" s="227"/>
      <c r="D32" s="227"/>
      <c r="E32" s="227"/>
      <c r="F32" s="227"/>
      <c r="G32" s="227"/>
      <c r="H32" s="227"/>
      <c r="I32" s="227"/>
      <c r="J32" s="227" t="s">
        <v>470</v>
      </c>
    </row>
    <row r="33" spans="1:10">
      <c r="A33" s="227"/>
      <c r="B33" s="227"/>
      <c r="C33" s="227"/>
      <c r="D33" s="227"/>
      <c r="E33" s="227"/>
      <c r="F33" s="227"/>
      <c r="G33" s="227"/>
      <c r="H33" s="227"/>
      <c r="I33" s="227"/>
      <c r="J33" s="227" t="s">
        <v>474</v>
      </c>
    </row>
    <row r="34" spans="1:10">
      <c r="A34" s="701"/>
      <c r="B34" s="701"/>
      <c r="C34" s="701"/>
      <c r="D34" s="701"/>
      <c r="E34" s="701"/>
      <c r="F34" s="701"/>
      <c r="G34" s="701"/>
      <c r="H34" s="701"/>
      <c r="I34" s="701"/>
      <c r="J34" s="701"/>
    </row>
  </sheetData>
  <phoneticPr fontId="60"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BE188"/>
  <sheetViews>
    <sheetView tabSelected="1" topLeftCell="A11" zoomScale="75" workbookViewId="0">
      <pane ySplit="6" topLeftCell="A101" activePane="bottomLeft" state="frozen"/>
      <selection activeCell="W48" sqref="W48"/>
      <selection pane="bottomLeft" activeCell="A17" sqref="A17:A143"/>
    </sheetView>
  </sheetViews>
  <sheetFormatPr defaultRowHeight="15" outlineLevelRow="1"/>
  <cols>
    <col min="1" max="1" width="9.21875" customWidth="1"/>
    <col min="2" max="2" width="9.109375" customWidth="1"/>
    <col min="3" max="3" width="4.77734375" customWidth="1"/>
    <col min="4" max="4" width="8.77734375" customWidth="1"/>
    <col min="5" max="5" width="4.77734375" customWidth="1"/>
    <col min="6" max="6" width="9.21875" customWidth="1"/>
    <col min="7" max="7" width="4.77734375" customWidth="1"/>
    <col min="8" max="8" width="1.77734375" customWidth="1"/>
    <col min="9" max="9" width="5.77734375" customWidth="1"/>
    <col min="10" max="10" width="9.21875" customWidth="1"/>
    <col min="11" max="11" width="5.77734375" customWidth="1"/>
    <col min="13" max="13" width="5.77734375" customWidth="1"/>
    <col min="14" max="15" width="9.5546875" customWidth="1"/>
    <col min="16" max="16" width="1.77734375" customWidth="1"/>
    <col min="17" max="17" width="5.77734375" customWidth="1"/>
    <col min="18" max="18" width="8.77734375" customWidth="1"/>
    <col min="19" max="19" width="5.77734375" customWidth="1"/>
    <col min="20" max="20" width="8.77734375" customWidth="1"/>
    <col min="21" max="21" width="5.77734375" customWidth="1"/>
    <col min="22" max="22" width="8.77734375" customWidth="1"/>
    <col min="23" max="23" width="5.77734375" customWidth="1"/>
    <col min="24" max="24" width="1.77734375" customWidth="1"/>
    <col min="25" max="25" width="12.21875" customWidth="1"/>
    <col min="26" max="26" width="5.6640625" customWidth="1"/>
    <col min="28" max="28" width="9.109375" bestFit="1" customWidth="1"/>
  </cols>
  <sheetData>
    <row r="1" spans="1:57">
      <c r="A1" s="440" t="str">
        <f ca="1">CELL("filename",A1)</f>
        <v>O:\DCF\SALMON\FORECAST\2015\[2015_Copper River Wild Sockeye forecast_FINAL.xlsm]Rank data</v>
      </c>
    </row>
    <row r="3" spans="1:57">
      <c r="B3" s="663"/>
      <c r="D3" s="664" t="s">
        <v>376</v>
      </c>
      <c r="E3" s="665" t="s">
        <v>383</v>
      </c>
      <c r="R3" t="s">
        <v>386</v>
      </c>
    </row>
    <row r="4" spans="1:57">
      <c r="B4" s="663"/>
      <c r="D4" s="664" t="s">
        <v>377</v>
      </c>
      <c r="E4" s="665" t="s">
        <v>384</v>
      </c>
    </row>
    <row r="5" spans="1:57">
      <c r="B5" s="663"/>
      <c r="D5" s="664" t="s">
        <v>378</v>
      </c>
      <c r="E5" s="878" t="s">
        <v>391</v>
      </c>
      <c r="R5" t="s">
        <v>392</v>
      </c>
    </row>
    <row r="6" spans="1:57">
      <c r="B6" s="663"/>
      <c r="D6" s="664" t="s">
        <v>379</v>
      </c>
      <c r="E6" s="665" t="s">
        <v>384</v>
      </c>
    </row>
    <row r="7" spans="1:57">
      <c r="B7" s="663"/>
      <c r="D7" s="664" t="s">
        <v>380</v>
      </c>
      <c r="E7" s="665" t="s">
        <v>383</v>
      </c>
      <c r="R7" t="s">
        <v>387</v>
      </c>
    </row>
    <row r="8" spans="1:57">
      <c r="B8" s="663"/>
      <c r="D8" s="664" t="s">
        <v>381</v>
      </c>
      <c r="E8" s="665" t="s">
        <v>383</v>
      </c>
      <c r="R8" t="s">
        <v>388</v>
      </c>
    </row>
    <row r="9" spans="1:57">
      <c r="B9" s="663"/>
      <c r="D9" s="664" t="s">
        <v>382</v>
      </c>
      <c r="E9" s="665" t="s">
        <v>385</v>
      </c>
      <c r="R9" t="s">
        <v>389</v>
      </c>
      <c r="V9" s="440">
        <f>40000/1000000</f>
        <v>0.04</v>
      </c>
    </row>
    <row r="10" spans="1:57">
      <c r="B10" s="663"/>
      <c r="D10" s="664"/>
      <c r="E10" s="665"/>
    </row>
    <row r="11" spans="1:57">
      <c r="A11" s="440" t="str">
        <f ca="1">CELL("filename",A11)</f>
        <v>O:\DCF\SALMON\FORECAST\2015\[2015_Copper River Wild Sockeye forecast_FINAL.xlsm]Rank data</v>
      </c>
      <c r="B11" s="663"/>
      <c r="D11" s="664"/>
      <c r="E11" s="665"/>
      <c r="R11" s="275"/>
      <c r="S11" s="936"/>
    </row>
    <row r="12" spans="1:57" ht="9" customHeight="1">
      <c r="B12" s="663"/>
      <c r="D12" s="664"/>
      <c r="E12" s="665"/>
    </row>
    <row r="13" spans="1:57" ht="20.25">
      <c r="A13" s="407" t="s">
        <v>390</v>
      </c>
      <c r="B13" s="663"/>
      <c r="D13" s="664"/>
      <c r="E13" s="665"/>
      <c r="AA13" s="1156" t="s">
        <v>531</v>
      </c>
      <c r="AB13" s="1156"/>
      <c r="AC13" s="1156"/>
      <c r="AD13" s="1156"/>
    </row>
    <row r="14" spans="1:57" ht="9" customHeight="1"/>
    <row r="15" spans="1:57" ht="15.75">
      <c r="A15" s="655"/>
      <c r="B15" s="662" t="s">
        <v>368</v>
      </c>
      <c r="C15" s="660"/>
      <c r="D15" s="660"/>
      <c r="E15" s="660"/>
      <c r="F15" s="660"/>
      <c r="G15" s="660"/>
      <c r="I15" s="655"/>
      <c r="J15" s="662" t="s">
        <v>371</v>
      </c>
      <c r="K15" s="660"/>
      <c r="L15" s="660"/>
      <c r="M15" s="660"/>
      <c r="N15" s="660"/>
      <c r="O15" s="660"/>
      <c r="P15" s="381"/>
      <c r="Q15" s="655"/>
      <c r="R15" s="662" t="s">
        <v>372</v>
      </c>
      <c r="S15" s="660"/>
      <c r="T15" s="660"/>
      <c r="U15" s="660"/>
      <c r="V15" s="660"/>
      <c r="W15" s="660"/>
      <c r="Y15" s="418" t="s">
        <v>375</v>
      </c>
      <c r="Z15" s="655"/>
      <c r="AA15" s="1154" t="s">
        <v>440</v>
      </c>
      <c r="AB15" s="1154"/>
      <c r="AC15" s="1155" t="s">
        <v>533</v>
      </c>
      <c r="AD15" s="1155"/>
      <c r="BC15" s="1157" t="s">
        <v>367</v>
      </c>
      <c r="BD15" s="1157"/>
      <c r="BE15" s="1157"/>
    </row>
    <row r="16" spans="1:57" ht="15.75">
      <c r="A16" s="419" t="s">
        <v>27</v>
      </c>
      <c r="B16" s="657" t="s">
        <v>369</v>
      </c>
      <c r="C16" s="657" t="s">
        <v>367</v>
      </c>
      <c r="D16" s="703" t="s">
        <v>370</v>
      </c>
      <c r="E16" s="657" t="s">
        <v>367</v>
      </c>
      <c r="F16" s="672" t="s">
        <v>128</v>
      </c>
      <c r="G16" s="657" t="s">
        <v>367</v>
      </c>
      <c r="I16" s="661" t="s">
        <v>27</v>
      </c>
      <c r="J16" s="657" t="s">
        <v>369</v>
      </c>
      <c r="K16" s="657" t="s">
        <v>367</v>
      </c>
      <c r="L16" s="657" t="s">
        <v>370</v>
      </c>
      <c r="M16" s="657" t="s">
        <v>367</v>
      </c>
      <c r="N16" s="672" t="s">
        <v>128</v>
      </c>
      <c r="O16" s="657" t="s">
        <v>367</v>
      </c>
      <c r="P16" s="379"/>
      <c r="Q16" s="661" t="s">
        <v>27</v>
      </c>
      <c r="R16" s="657" t="s">
        <v>373</v>
      </c>
      <c r="S16" s="657" t="s">
        <v>367</v>
      </c>
      <c r="T16" s="657" t="s">
        <v>374</v>
      </c>
      <c r="U16" s="657" t="s">
        <v>367</v>
      </c>
      <c r="V16" s="672" t="s">
        <v>128</v>
      </c>
      <c r="W16" s="657" t="s">
        <v>367</v>
      </c>
      <c r="Y16" s="661" t="s">
        <v>586</v>
      </c>
      <c r="Z16" s="658" t="s">
        <v>367</v>
      </c>
      <c r="AA16" s="54" t="s">
        <v>532</v>
      </c>
      <c r="AB16" s="54" t="s">
        <v>370</v>
      </c>
      <c r="AC16" s="54" t="s">
        <v>532</v>
      </c>
      <c r="AD16" s="54" t="s">
        <v>370</v>
      </c>
      <c r="AY16" t="s">
        <v>27</v>
      </c>
      <c r="AZ16" t="s">
        <v>532</v>
      </c>
      <c r="BA16" t="s">
        <v>370</v>
      </c>
      <c r="BB16" s="54" t="s">
        <v>626</v>
      </c>
      <c r="BC16" s="54" t="s">
        <v>128</v>
      </c>
      <c r="BD16" s="54" t="s">
        <v>360</v>
      </c>
      <c r="BE16" s="54" t="s">
        <v>370</v>
      </c>
    </row>
    <row r="17" spans="1:30" ht="15.75" outlineLevel="1">
      <c r="A17" s="666">
        <v>1889</v>
      </c>
      <c r="B17" s="379"/>
      <c r="C17" s="379"/>
      <c r="D17" s="1111"/>
      <c r="E17" s="379"/>
      <c r="F17" s="1112"/>
      <c r="G17" s="379"/>
      <c r="I17" s="667">
        <f t="shared" ref="I17:I80" si="0">A17</f>
        <v>1889</v>
      </c>
      <c r="J17" s="1114">
        <v>242790</v>
      </c>
      <c r="K17" s="379"/>
      <c r="L17" s="379"/>
      <c r="M17" s="379"/>
      <c r="N17" s="1112"/>
      <c r="O17" s="379"/>
      <c r="P17" s="379"/>
      <c r="Q17" s="324"/>
      <c r="R17" s="379"/>
      <c r="S17" s="379"/>
      <c r="T17" s="379"/>
      <c r="U17" s="379"/>
      <c r="V17" s="1112"/>
      <c r="W17" s="379"/>
      <c r="Y17" s="324"/>
      <c r="Z17" s="1113"/>
      <c r="AA17" s="54"/>
      <c r="AB17" s="54"/>
      <c r="AC17" s="54"/>
      <c r="AD17" s="54"/>
    </row>
    <row r="18" spans="1:30" ht="15.75" outlineLevel="1">
      <c r="A18" s="666">
        <v>1890</v>
      </c>
      <c r="B18" s="379"/>
      <c r="C18" s="379"/>
      <c r="D18" s="1111"/>
      <c r="E18" s="379"/>
      <c r="F18" s="1112"/>
      <c r="G18" s="379"/>
      <c r="I18" s="667">
        <f t="shared" si="0"/>
        <v>1890</v>
      </c>
      <c r="J18" s="1114">
        <v>411190</v>
      </c>
      <c r="K18" s="379"/>
      <c r="L18" s="379"/>
      <c r="M18" s="379"/>
      <c r="N18" s="1112"/>
      <c r="O18" s="379"/>
      <c r="P18" s="379"/>
      <c r="Q18" s="324"/>
      <c r="R18" s="379"/>
      <c r="S18" s="379"/>
      <c r="T18" s="379"/>
      <c r="U18" s="379"/>
      <c r="V18" s="1112"/>
      <c r="W18" s="379"/>
      <c r="Y18" s="324"/>
      <c r="Z18" s="1113"/>
      <c r="AA18" s="54"/>
      <c r="AB18" s="54"/>
      <c r="AC18" s="54"/>
      <c r="AD18" s="54"/>
    </row>
    <row r="19" spans="1:30" ht="15.75" outlineLevel="1">
      <c r="A19" s="666">
        <v>1891</v>
      </c>
      <c r="B19" s="379"/>
      <c r="C19" s="379"/>
      <c r="D19" s="1111"/>
      <c r="E19" s="379"/>
      <c r="F19" s="1112"/>
      <c r="G19" s="379"/>
      <c r="I19" s="667">
        <f t="shared" si="0"/>
        <v>1891</v>
      </c>
      <c r="J19" s="1114">
        <v>710740</v>
      </c>
      <c r="K19" s="379"/>
      <c r="L19" s="379"/>
      <c r="M19" s="379"/>
      <c r="N19" s="1112"/>
      <c r="O19" s="379"/>
      <c r="P19" s="379"/>
      <c r="Q19" s="324"/>
      <c r="R19" s="379"/>
      <c r="S19" s="379"/>
      <c r="T19" s="379"/>
      <c r="U19" s="379"/>
      <c r="V19" s="1112"/>
      <c r="W19" s="379"/>
      <c r="Y19" s="324"/>
      <c r="Z19" s="1113"/>
      <c r="AA19" s="54"/>
      <c r="AB19" s="54"/>
      <c r="AC19" s="54"/>
      <c r="AD19" s="54"/>
    </row>
    <row r="20" spans="1:30" ht="15.75" outlineLevel="1">
      <c r="A20" s="666">
        <v>1892</v>
      </c>
      <c r="B20" s="379"/>
      <c r="C20" s="379"/>
      <c r="D20" s="1111"/>
      <c r="E20" s="379"/>
      <c r="F20" s="1112"/>
      <c r="G20" s="379"/>
      <c r="I20" s="667">
        <f t="shared" si="0"/>
        <v>1892</v>
      </c>
      <c r="J20" s="1114"/>
      <c r="K20" s="379"/>
      <c r="L20" s="379"/>
      <c r="M20" s="379"/>
      <c r="N20" s="1112"/>
      <c r="O20" s="379"/>
      <c r="P20" s="379"/>
      <c r="Q20" s="324"/>
      <c r="R20" s="379"/>
      <c r="S20" s="379"/>
      <c r="T20" s="379"/>
      <c r="U20" s="379"/>
      <c r="V20" s="1112"/>
      <c r="W20" s="379"/>
      <c r="Y20" s="324"/>
      <c r="Z20" s="1113"/>
      <c r="AA20" s="54"/>
      <c r="AB20" s="54"/>
      <c r="AC20" s="54"/>
      <c r="AD20" s="54"/>
    </row>
    <row r="21" spans="1:30" ht="15.75" outlineLevel="1">
      <c r="A21" s="666">
        <v>1893</v>
      </c>
      <c r="B21" s="379"/>
      <c r="C21" s="379"/>
      <c r="D21" s="1111"/>
      <c r="E21" s="379"/>
      <c r="F21" s="1112"/>
      <c r="G21" s="379"/>
      <c r="I21" s="667">
        <f t="shared" si="0"/>
        <v>1893</v>
      </c>
      <c r="J21" s="1114">
        <v>792690</v>
      </c>
      <c r="K21" s="379"/>
      <c r="L21" s="379"/>
      <c r="M21" s="379"/>
      <c r="N21" s="1112"/>
      <c r="O21" s="379"/>
      <c r="P21" s="379"/>
      <c r="Q21" s="324"/>
      <c r="R21" s="379"/>
      <c r="S21" s="379"/>
      <c r="T21" s="379"/>
      <c r="U21" s="379"/>
      <c r="V21" s="1112"/>
      <c r="W21" s="379"/>
      <c r="Y21" s="324"/>
      <c r="Z21" s="1113"/>
      <c r="AA21" s="54"/>
      <c r="AB21" s="54"/>
      <c r="AC21" s="54"/>
      <c r="AD21" s="54"/>
    </row>
    <row r="22" spans="1:30" ht="15.75" outlineLevel="1">
      <c r="A22" s="666">
        <v>1894</v>
      </c>
      <c r="B22" s="379"/>
      <c r="C22" s="379"/>
      <c r="D22" s="1111"/>
      <c r="E22" s="379"/>
      <c r="F22" s="1112"/>
      <c r="G22" s="379"/>
      <c r="I22" s="667">
        <f t="shared" si="0"/>
        <v>1894</v>
      </c>
      <c r="J22" s="1114">
        <v>710000</v>
      </c>
      <c r="K22" s="379"/>
      <c r="L22" s="379"/>
      <c r="M22" s="379"/>
      <c r="N22" s="1112"/>
      <c r="O22" s="379"/>
      <c r="P22" s="379"/>
      <c r="Q22" s="324"/>
      <c r="R22" s="379"/>
      <c r="S22" s="379"/>
      <c r="T22" s="379"/>
      <c r="U22" s="379"/>
      <c r="V22" s="1112"/>
      <c r="W22" s="379"/>
      <c r="Y22" s="324"/>
      <c r="Z22" s="1113"/>
      <c r="AA22" s="54"/>
      <c r="AB22" s="54"/>
      <c r="AC22" s="54"/>
      <c r="AD22" s="54"/>
    </row>
    <row r="23" spans="1:30" ht="15.75" outlineLevel="1">
      <c r="A23" s="666">
        <v>1895</v>
      </c>
      <c r="B23" s="379"/>
      <c r="C23" s="379"/>
      <c r="D23" s="1111"/>
      <c r="E23" s="379"/>
      <c r="F23" s="1112"/>
      <c r="G23" s="379"/>
      <c r="I23" s="667">
        <f t="shared" si="0"/>
        <v>1895</v>
      </c>
      <c r="J23" s="1114">
        <v>507630</v>
      </c>
      <c r="K23" s="379"/>
      <c r="L23" s="379"/>
      <c r="M23" s="379"/>
      <c r="N23" s="1112"/>
      <c r="O23" s="379"/>
      <c r="P23" s="379"/>
      <c r="Q23" s="324"/>
      <c r="R23" s="379"/>
      <c r="S23" s="379"/>
      <c r="T23" s="379"/>
      <c r="U23" s="379"/>
      <c r="V23" s="1112"/>
      <c r="W23" s="379"/>
      <c r="Y23" s="324"/>
      <c r="Z23" s="1113"/>
      <c r="AA23" s="54"/>
      <c r="AB23" s="54"/>
      <c r="AC23" s="54"/>
      <c r="AD23" s="54"/>
    </row>
    <row r="24" spans="1:30" ht="15.75" outlineLevel="1">
      <c r="A24" s="666">
        <v>1896</v>
      </c>
      <c r="B24" s="379"/>
      <c r="C24" s="379"/>
      <c r="D24" s="1111"/>
      <c r="E24" s="379"/>
      <c r="F24" s="1112"/>
      <c r="G24" s="379"/>
      <c r="I24" s="667">
        <f t="shared" si="0"/>
        <v>1896</v>
      </c>
      <c r="J24" s="1114">
        <v>714595</v>
      </c>
      <c r="K24" s="379"/>
      <c r="L24" s="379"/>
      <c r="M24" s="379"/>
      <c r="N24" s="1112"/>
      <c r="O24" s="379"/>
      <c r="P24" s="379"/>
      <c r="Q24" s="324"/>
      <c r="R24" s="379"/>
      <c r="S24" s="379"/>
      <c r="T24" s="379"/>
      <c r="U24" s="379"/>
      <c r="V24" s="1112"/>
      <c r="W24" s="379"/>
      <c r="Y24" s="324"/>
      <c r="Z24" s="1113"/>
      <c r="AA24" s="54"/>
      <c r="AB24" s="54"/>
      <c r="AC24" s="54"/>
      <c r="AD24" s="54"/>
    </row>
    <row r="25" spans="1:30" ht="15.75" outlineLevel="1">
      <c r="A25" s="666">
        <v>1897</v>
      </c>
      <c r="B25" s="379"/>
      <c r="C25" s="379"/>
      <c r="D25" s="1111"/>
      <c r="E25" s="379"/>
      <c r="F25" s="1112"/>
      <c r="G25" s="379"/>
      <c r="I25" s="667">
        <f t="shared" si="0"/>
        <v>1897</v>
      </c>
      <c r="J25" s="1114">
        <v>371487</v>
      </c>
      <c r="K25" s="379"/>
      <c r="L25" s="379"/>
      <c r="M25" s="379"/>
      <c r="N25" s="1112"/>
      <c r="O25" s="379"/>
      <c r="P25" s="379"/>
      <c r="Q25" s="324"/>
      <c r="R25" s="379"/>
      <c r="S25" s="379"/>
      <c r="T25" s="379"/>
      <c r="U25" s="379"/>
      <c r="V25" s="1112"/>
      <c r="W25" s="379"/>
      <c r="Y25" s="324"/>
      <c r="Z25" s="1113"/>
      <c r="AA25" s="54"/>
      <c r="AB25" s="54"/>
      <c r="AC25" s="54"/>
      <c r="AD25" s="54"/>
    </row>
    <row r="26" spans="1:30" ht="15.75" outlineLevel="1">
      <c r="A26" s="666">
        <v>1898</v>
      </c>
      <c r="B26" s="379"/>
      <c r="C26" s="379"/>
      <c r="D26" s="1111"/>
      <c r="E26" s="379"/>
      <c r="F26" s="1112"/>
      <c r="G26" s="379"/>
      <c r="I26" s="667">
        <f t="shared" si="0"/>
        <v>1898</v>
      </c>
      <c r="J26" s="1114">
        <v>417171</v>
      </c>
      <c r="K26" s="379"/>
      <c r="L26" s="379"/>
      <c r="M26" s="379"/>
      <c r="N26" s="1112"/>
      <c r="O26" s="379"/>
      <c r="P26" s="379"/>
      <c r="Q26" s="324"/>
      <c r="R26" s="379"/>
      <c r="S26" s="379"/>
      <c r="T26" s="379"/>
      <c r="U26" s="379"/>
      <c r="V26" s="1112"/>
      <c r="W26" s="379"/>
      <c r="Y26" s="324"/>
      <c r="Z26" s="1113"/>
      <c r="AA26" s="54"/>
      <c r="AB26" s="54"/>
      <c r="AC26" s="54"/>
      <c r="AD26" s="54"/>
    </row>
    <row r="27" spans="1:30" ht="15.75" outlineLevel="1">
      <c r="A27" s="666">
        <v>1899</v>
      </c>
      <c r="B27" s="379"/>
      <c r="C27" s="379"/>
      <c r="D27" s="1111"/>
      <c r="E27" s="379"/>
      <c r="F27" s="1112"/>
      <c r="G27" s="379"/>
      <c r="I27" s="667">
        <f t="shared" si="0"/>
        <v>1899</v>
      </c>
      <c r="J27" s="1115">
        <v>527122</v>
      </c>
      <c r="K27" s="379"/>
      <c r="L27" s="379"/>
      <c r="M27" s="379"/>
      <c r="N27" s="1112"/>
      <c r="O27" s="379"/>
      <c r="P27" s="379"/>
      <c r="Q27" s="324"/>
      <c r="R27" s="379"/>
      <c r="S27" s="379"/>
      <c r="T27" s="379"/>
      <c r="U27" s="379"/>
      <c r="V27" s="1112"/>
      <c r="W27" s="379"/>
      <c r="Y27" s="324"/>
      <c r="Z27" s="1113"/>
      <c r="AA27" s="54"/>
      <c r="AB27" s="54"/>
      <c r="AC27" s="54"/>
      <c r="AD27" s="54"/>
    </row>
    <row r="28" spans="1:30" ht="15.75" outlineLevel="1">
      <c r="A28" s="666">
        <v>1900</v>
      </c>
      <c r="B28" s="379"/>
      <c r="C28" s="379"/>
      <c r="D28" s="1111"/>
      <c r="E28" s="379"/>
      <c r="F28" s="1112"/>
      <c r="G28" s="379"/>
      <c r="I28" s="667">
        <f t="shared" si="0"/>
        <v>1900</v>
      </c>
      <c r="J28" s="1114">
        <v>748310</v>
      </c>
      <c r="K28" s="379"/>
      <c r="L28" s="379"/>
      <c r="M28" s="379"/>
      <c r="N28" s="1112"/>
      <c r="O28" s="379"/>
      <c r="P28" s="379"/>
      <c r="Q28" s="324"/>
      <c r="R28" s="379"/>
      <c r="S28" s="379"/>
      <c r="T28" s="379"/>
      <c r="U28" s="379"/>
      <c r="V28" s="1112"/>
      <c r="W28" s="379"/>
      <c r="Y28" s="324"/>
      <c r="Z28" s="1113"/>
      <c r="AA28" s="54"/>
      <c r="AB28" s="54"/>
      <c r="AC28" s="54"/>
      <c r="AD28" s="54"/>
    </row>
    <row r="29" spans="1:30" ht="15.75" outlineLevel="1">
      <c r="A29" s="666">
        <v>1901</v>
      </c>
      <c r="B29" s="379"/>
      <c r="C29" s="379"/>
      <c r="D29" s="1111"/>
      <c r="E29" s="379"/>
      <c r="F29" s="1112"/>
      <c r="G29" s="379"/>
      <c r="I29" s="667">
        <f t="shared" si="0"/>
        <v>1901</v>
      </c>
      <c r="J29" s="1114">
        <v>781438</v>
      </c>
      <c r="K29" s="379"/>
      <c r="L29" s="379"/>
      <c r="M29" s="379"/>
      <c r="N29" s="1112"/>
      <c r="O29" s="379"/>
      <c r="P29" s="379"/>
      <c r="Q29" s="324"/>
      <c r="R29" s="379"/>
      <c r="S29" s="379"/>
      <c r="T29" s="379"/>
      <c r="U29" s="379"/>
      <c r="V29" s="1112"/>
      <c r="W29" s="379"/>
      <c r="Y29" s="324"/>
      <c r="Z29" s="1113"/>
      <c r="AA29" s="54"/>
      <c r="AB29" s="54"/>
      <c r="AC29" s="54"/>
      <c r="AD29" s="54"/>
    </row>
    <row r="30" spans="1:30" ht="15.75" outlineLevel="1">
      <c r="A30" s="666">
        <v>1902</v>
      </c>
      <c r="B30" s="379"/>
      <c r="C30" s="379"/>
      <c r="D30" s="1111"/>
      <c r="E30" s="379"/>
      <c r="F30" s="1112"/>
      <c r="G30" s="379"/>
      <c r="I30" s="667">
        <f t="shared" si="0"/>
        <v>1902</v>
      </c>
      <c r="J30" s="1114">
        <v>800044</v>
      </c>
      <c r="K30" s="379"/>
      <c r="L30" s="379"/>
      <c r="M30" s="379"/>
      <c r="N30" s="1112"/>
      <c r="O30" s="379"/>
      <c r="P30" s="379"/>
      <c r="Q30" s="324"/>
      <c r="R30" s="379"/>
      <c r="S30" s="379"/>
      <c r="T30" s="379"/>
      <c r="U30" s="379"/>
      <c r="V30" s="1112"/>
      <c r="W30" s="379"/>
      <c r="Y30" s="324"/>
      <c r="Z30" s="1113"/>
      <c r="AA30" s="54"/>
      <c r="AB30" s="54"/>
      <c r="AC30" s="54"/>
      <c r="AD30" s="54"/>
    </row>
    <row r="31" spans="1:30" ht="15.75" outlineLevel="1">
      <c r="A31" s="666">
        <v>1903</v>
      </c>
      <c r="B31" s="379"/>
      <c r="C31" s="379"/>
      <c r="D31" s="1111"/>
      <c r="E31" s="379"/>
      <c r="F31" s="1112"/>
      <c r="G31" s="379"/>
      <c r="I31" s="667">
        <f t="shared" si="0"/>
        <v>1903</v>
      </c>
      <c r="J31" s="1114">
        <v>814345</v>
      </c>
      <c r="K31" s="379"/>
      <c r="L31" s="379"/>
      <c r="M31" s="379"/>
      <c r="N31" s="1112"/>
      <c r="O31" s="379"/>
      <c r="P31" s="379"/>
      <c r="Q31" s="324"/>
      <c r="R31" s="379"/>
      <c r="S31" s="379"/>
      <c r="T31" s="379"/>
      <c r="U31" s="379"/>
      <c r="V31" s="1112"/>
      <c r="W31" s="379"/>
      <c r="Y31" s="324"/>
      <c r="Z31" s="1113"/>
      <c r="AA31" s="54"/>
      <c r="AB31" s="54"/>
      <c r="AC31" s="54"/>
      <c r="AD31" s="54"/>
    </row>
    <row r="32" spans="1:30" ht="15.75" outlineLevel="1">
      <c r="A32" s="666">
        <v>1904</v>
      </c>
      <c r="B32" s="379"/>
      <c r="C32" s="379"/>
      <c r="D32" s="1111"/>
      <c r="E32" s="379"/>
      <c r="F32" s="1112"/>
      <c r="G32" s="379"/>
      <c r="I32" s="667">
        <f t="shared" si="0"/>
        <v>1904</v>
      </c>
      <c r="J32" s="1114">
        <v>501630</v>
      </c>
      <c r="K32" s="379"/>
      <c r="L32" s="379"/>
      <c r="M32" s="379"/>
      <c r="N32" s="1112"/>
      <c r="O32" s="379"/>
      <c r="P32" s="379"/>
      <c r="Q32" s="324"/>
      <c r="R32" s="379"/>
      <c r="S32" s="379"/>
      <c r="T32" s="379"/>
      <c r="U32" s="379"/>
      <c r="V32" s="1112"/>
      <c r="W32" s="379"/>
      <c r="Y32" s="324"/>
      <c r="Z32" s="1113"/>
      <c r="AA32" s="54"/>
      <c r="AB32" s="54"/>
      <c r="AC32" s="54"/>
      <c r="AD32" s="54"/>
    </row>
    <row r="33" spans="1:30" ht="15.75" outlineLevel="1">
      <c r="A33" s="666">
        <v>1905</v>
      </c>
      <c r="B33" s="379"/>
      <c r="C33" s="379"/>
      <c r="D33" s="1111"/>
      <c r="E33" s="379"/>
      <c r="F33" s="1112"/>
      <c r="G33" s="379"/>
      <c r="I33" s="667">
        <f t="shared" si="0"/>
        <v>1905</v>
      </c>
      <c r="J33" s="1114">
        <v>320000</v>
      </c>
      <c r="K33" s="379"/>
      <c r="L33" s="379"/>
      <c r="M33" s="379"/>
      <c r="N33" s="1112"/>
      <c r="O33" s="379"/>
      <c r="P33" s="379"/>
      <c r="Q33" s="324"/>
      <c r="R33" s="379"/>
      <c r="S33" s="379"/>
      <c r="T33" s="379"/>
      <c r="U33" s="379"/>
      <c r="V33" s="1112"/>
      <c r="W33" s="379"/>
      <c r="Y33" s="324"/>
      <c r="Z33" s="1113"/>
      <c r="AA33" s="54"/>
      <c r="AB33" s="54"/>
      <c r="AC33" s="54"/>
      <c r="AD33" s="54"/>
    </row>
    <row r="34" spans="1:30" ht="15.75" outlineLevel="1">
      <c r="A34" s="666">
        <v>1906</v>
      </c>
      <c r="B34" s="379"/>
      <c r="C34" s="379"/>
      <c r="D34" s="1111"/>
      <c r="E34" s="379"/>
      <c r="F34" s="1112"/>
      <c r="G34" s="379"/>
      <c r="I34" s="667">
        <f t="shared" si="0"/>
        <v>1906</v>
      </c>
      <c r="J34" s="1114">
        <v>265378</v>
      </c>
      <c r="K34" s="379"/>
      <c r="L34" s="379"/>
      <c r="M34" s="379"/>
      <c r="N34" s="1112"/>
      <c r="O34" s="379"/>
      <c r="P34" s="379"/>
      <c r="Q34" s="324"/>
      <c r="R34" s="379"/>
      <c r="S34" s="379"/>
      <c r="T34" s="379"/>
      <c r="U34" s="379"/>
      <c r="V34" s="1112"/>
      <c r="W34" s="379"/>
      <c r="Y34" s="324"/>
      <c r="Z34" s="1113"/>
      <c r="AA34" s="54"/>
      <c r="AB34" s="54"/>
      <c r="AC34" s="54"/>
      <c r="AD34" s="54"/>
    </row>
    <row r="35" spans="1:30" ht="15.75" outlineLevel="1">
      <c r="A35" s="666">
        <v>1907</v>
      </c>
      <c r="B35" s="379"/>
      <c r="C35" s="379"/>
      <c r="D35" s="1111"/>
      <c r="E35" s="379"/>
      <c r="F35" s="1112"/>
      <c r="G35" s="379"/>
      <c r="I35" s="667">
        <f t="shared" si="0"/>
        <v>1907</v>
      </c>
      <c r="J35" s="1114">
        <v>263557</v>
      </c>
      <c r="K35" s="379"/>
      <c r="L35" s="379"/>
      <c r="M35" s="379"/>
      <c r="N35" s="1112"/>
      <c r="O35" s="379"/>
      <c r="P35" s="379"/>
      <c r="Q35" s="324"/>
      <c r="R35" s="379"/>
      <c r="S35" s="379"/>
      <c r="T35" s="379"/>
      <c r="U35" s="379"/>
      <c r="V35" s="1112"/>
      <c r="W35" s="379"/>
      <c r="Y35" s="324"/>
      <c r="Z35" s="1113"/>
      <c r="AA35" s="54"/>
      <c r="AB35" s="54"/>
      <c r="AC35" s="54"/>
      <c r="AD35" s="54"/>
    </row>
    <row r="36" spans="1:30" ht="15.75" outlineLevel="1">
      <c r="A36" s="666">
        <v>1908</v>
      </c>
      <c r="B36" s="379"/>
      <c r="C36" s="379"/>
      <c r="D36" s="1111"/>
      <c r="E36" s="379"/>
      <c r="F36" s="1112"/>
      <c r="G36" s="379"/>
      <c r="I36" s="667">
        <f t="shared" si="0"/>
        <v>1908</v>
      </c>
      <c r="J36" s="1114">
        <v>466414</v>
      </c>
      <c r="K36" s="379"/>
      <c r="L36" s="379"/>
      <c r="M36" s="379"/>
      <c r="N36" s="1112"/>
      <c r="O36" s="379"/>
      <c r="P36" s="379"/>
      <c r="Q36" s="324"/>
      <c r="R36" s="379"/>
      <c r="S36" s="379"/>
      <c r="T36" s="379"/>
      <c r="U36" s="379"/>
      <c r="V36" s="1112"/>
      <c r="W36" s="379"/>
      <c r="Y36" s="324"/>
      <c r="Z36" s="1113"/>
      <c r="AA36" s="54"/>
      <c r="AB36" s="54"/>
      <c r="AC36" s="54"/>
      <c r="AD36" s="54"/>
    </row>
    <row r="37" spans="1:30" ht="15.75" outlineLevel="1">
      <c r="A37" s="666">
        <v>1909</v>
      </c>
      <c r="B37" s="379"/>
      <c r="C37" s="379"/>
      <c r="D37" s="1111"/>
      <c r="E37" s="379"/>
      <c r="F37" s="1112"/>
      <c r="G37" s="379"/>
      <c r="I37" s="667">
        <f t="shared" si="0"/>
        <v>1909</v>
      </c>
      <c r="J37" s="1114">
        <v>316688</v>
      </c>
      <c r="K37" s="379"/>
      <c r="L37" s="379"/>
      <c r="M37" s="379"/>
      <c r="N37" s="1112"/>
      <c r="O37" s="379"/>
      <c r="P37" s="379"/>
      <c r="Q37" s="324"/>
      <c r="R37" s="379"/>
      <c r="S37" s="379"/>
      <c r="T37" s="379"/>
      <c r="U37" s="379"/>
      <c r="V37" s="1112"/>
      <c r="W37" s="379"/>
      <c r="Y37" s="324"/>
      <c r="Z37" s="1113"/>
      <c r="AA37" s="54"/>
      <c r="AB37" s="54"/>
      <c r="AC37" s="54"/>
      <c r="AD37" s="54"/>
    </row>
    <row r="38" spans="1:30" ht="15.75" outlineLevel="1">
      <c r="A38" s="666">
        <v>1910</v>
      </c>
      <c r="B38" s="379"/>
      <c r="C38" s="379"/>
      <c r="D38" s="1111"/>
      <c r="E38" s="379"/>
      <c r="F38" s="1112"/>
      <c r="G38" s="379"/>
      <c r="I38" s="667">
        <f t="shared" si="0"/>
        <v>1910</v>
      </c>
      <c r="J38" s="1114">
        <v>221993</v>
      </c>
      <c r="K38" s="379"/>
      <c r="L38" s="379"/>
      <c r="M38" s="379"/>
      <c r="N38" s="1112"/>
      <c r="O38" s="379"/>
      <c r="P38" s="379"/>
      <c r="Q38" s="324"/>
      <c r="R38" s="379"/>
      <c r="S38" s="379"/>
      <c r="T38" s="379"/>
      <c r="U38" s="379"/>
      <c r="V38" s="1112"/>
      <c r="W38" s="379"/>
      <c r="Y38" s="324"/>
      <c r="Z38" s="1113"/>
      <c r="AA38" s="54"/>
      <c r="AB38" s="54"/>
      <c r="AC38" s="54"/>
      <c r="AD38" s="54"/>
    </row>
    <row r="39" spans="1:30" ht="15.75" outlineLevel="1">
      <c r="A39" s="666">
        <v>1911</v>
      </c>
      <c r="B39" s="379"/>
      <c r="C39" s="379"/>
      <c r="D39" s="1111"/>
      <c r="E39" s="379"/>
      <c r="F39" s="1112"/>
      <c r="G39" s="379"/>
      <c r="I39" s="667">
        <f t="shared" si="0"/>
        <v>1911</v>
      </c>
      <c r="J39" s="1114">
        <v>407559</v>
      </c>
      <c r="K39" s="379"/>
      <c r="L39" s="379"/>
      <c r="M39" s="379"/>
      <c r="N39" s="1112"/>
      <c r="O39" s="379"/>
      <c r="P39" s="379"/>
      <c r="Q39" s="324"/>
      <c r="R39" s="379"/>
      <c r="S39" s="379"/>
      <c r="T39" s="379"/>
      <c r="U39" s="379"/>
      <c r="V39" s="1112"/>
      <c r="W39" s="379"/>
      <c r="Y39" s="324"/>
      <c r="Z39" s="1113"/>
      <c r="AA39" s="54"/>
      <c r="AB39" s="54"/>
      <c r="AC39" s="54"/>
      <c r="AD39" s="54"/>
    </row>
    <row r="40" spans="1:30" ht="15.75" outlineLevel="1">
      <c r="A40" s="666">
        <v>1912</v>
      </c>
      <c r="B40" s="379"/>
      <c r="C40" s="379"/>
      <c r="D40" s="1111"/>
      <c r="E40" s="379"/>
      <c r="F40" s="1112"/>
      <c r="G40" s="379"/>
      <c r="I40" s="667">
        <f t="shared" si="0"/>
        <v>1912</v>
      </c>
      <c r="J40" s="1114">
        <v>456390</v>
      </c>
      <c r="K40" s="379"/>
      <c r="L40" s="379"/>
      <c r="M40" s="379"/>
      <c r="N40" s="1112"/>
      <c r="O40" s="379"/>
      <c r="P40" s="379"/>
      <c r="Q40" s="324"/>
      <c r="R40" s="379"/>
      <c r="S40" s="379"/>
      <c r="T40" s="379"/>
      <c r="U40" s="379"/>
      <c r="V40" s="1112"/>
      <c r="W40" s="379"/>
      <c r="Y40" s="324"/>
      <c r="Z40" s="1113"/>
      <c r="AA40" s="54"/>
      <c r="AB40" s="54"/>
      <c r="AC40" s="54"/>
      <c r="AD40" s="54"/>
    </row>
    <row r="41" spans="1:30" ht="15.75" outlineLevel="1">
      <c r="A41" s="666">
        <v>1913</v>
      </c>
      <c r="B41" s="379"/>
      <c r="C41" s="379"/>
      <c r="D41" s="1111"/>
      <c r="E41" s="379"/>
      <c r="F41" s="1112"/>
      <c r="G41" s="379"/>
      <c r="I41" s="667">
        <f t="shared" si="0"/>
        <v>1913</v>
      </c>
      <c r="J41" s="1114">
        <v>404914</v>
      </c>
      <c r="K41" s="379"/>
      <c r="L41" s="379"/>
      <c r="M41" s="379"/>
      <c r="N41" s="1112"/>
      <c r="O41" s="379"/>
      <c r="P41" s="379"/>
      <c r="Q41" s="324"/>
      <c r="R41" s="379"/>
      <c r="S41" s="379"/>
      <c r="T41" s="379"/>
      <c r="U41" s="379"/>
      <c r="V41" s="1112"/>
      <c r="W41" s="379"/>
      <c r="Y41" s="324"/>
      <c r="Z41" s="1113"/>
      <c r="AA41" s="54"/>
      <c r="AB41" s="54"/>
      <c r="AC41" s="54"/>
      <c r="AD41" s="54"/>
    </row>
    <row r="42" spans="1:30" ht="15.75" outlineLevel="1">
      <c r="A42" s="666">
        <v>1914</v>
      </c>
      <c r="B42" s="379"/>
      <c r="C42" s="379"/>
      <c r="D42" s="1111"/>
      <c r="E42" s="379"/>
      <c r="F42" s="1112"/>
      <c r="G42" s="379"/>
      <c r="I42" s="667">
        <f t="shared" si="0"/>
        <v>1914</v>
      </c>
      <c r="J42" s="1114">
        <v>570959</v>
      </c>
      <c r="K42" s="379"/>
      <c r="L42" s="379"/>
      <c r="M42" s="379"/>
      <c r="N42" s="1112"/>
      <c r="O42" s="379"/>
      <c r="P42" s="379"/>
      <c r="Q42" s="324"/>
      <c r="R42" s="379"/>
      <c r="S42" s="379"/>
      <c r="T42" s="379"/>
      <c r="U42" s="379"/>
      <c r="V42" s="1112"/>
      <c r="W42" s="379"/>
      <c r="Y42" s="324"/>
      <c r="Z42" s="1113"/>
      <c r="AA42" s="54"/>
      <c r="AB42" s="54"/>
      <c r="AC42" s="54"/>
      <c r="AD42" s="54"/>
    </row>
    <row r="43" spans="1:30" ht="15.75" outlineLevel="1">
      <c r="A43" s="666">
        <v>1915</v>
      </c>
      <c r="B43" s="379"/>
      <c r="C43" s="379"/>
      <c r="D43" s="1111"/>
      <c r="E43" s="379"/>
      <c r="F43" s="1112"/>
      <c r="G43" s="379"/>
      <c r="I43" s="667">
        <f t="shared" si="0"/>
        <v>1915</v>
      </c>
      <c r="J43" s="1114">
        <v>818728</v>
      </c>
      <c r="K43" s="379"/>
      <c r="L43" s="379"/>
      <c r="M43" s="379"/>
      <c r="N43" s="1112"/>
      <c r="O43" s="379"/>
      <c r="P43" s="379"/>
      <c r="Q43" s="324"/>
      <c r="R43" s="379"/>
      <c r="S43" s="379"/>
      <c r="T43" s="379"/>
      <c r="U43" s="379"/>
      <c r="V43" s="1112"/>
      <c r="W43" s="379"/>
      <c r="Y43" s="324"/>
      <c r="Z43" s="1113"/>
      <c r="AA43" s="54"/>
      <c r="AB43" s="54"/>
      <c r="AC43" s="54"/>
      <c r="AD43" s="54"/>
    </row>
    <row r="44" spans="1:30" ht="15.75" outlineLevel="1">
      <c r="A44" s="666">
        <v>1916</v>
      </c>
      <c r="B44" s="379"/>
      <c r="C44" s="379"/>
      <c r="D44" s="1111"/>
      <c r="E44" s="379"/>
      <c r="F44" s="1112"/>
      <c r="G44" s="379"/>
      <c r="I44" s="667">
        <f t="shared" si="0"/>
        <v>1916</v>
      </c>
      <c r="J44" s="1114">
        <v>569531</v>
      </c>
      <c r="K44" s="379"/>
      <c r="L44" s="379"/>
      <c r="M44" s="379"/>
      <c r="N44" s="1112"/>
      <c r="O44" s="379"/>
      <c r="P44" s="379"/>
      <c r="Q44" s="324"/>
      <c r="R44" s="379"/>
      <c r="S44" s="379"/>
      <c r="T44" s="379"/>
      <c r="U44" s="379"/>
      <c r="V44" s="1112"/>
      <c r="W44" s="379"/>
      <c r="Y44" s="324"/>
      <c r="Z44" s="1113"/>
      <c r="AA44" s="54"/>
      <c r="AB44" s="54"/>
      <c r="AC44" s="54"/>
      <c r="AD44" s="54"/>
    </row>
    <row r="45" spans="1:30" ht="15.75" outlineLevel="1">
      <c r="A45" s="666">
        <v>1917</v>
      </c>
      <c r="B45" s="379"/>
      <c r="C45" s="379"/>
      <c r="D45" s="1111"/>
      <c r="E45" s="379"/>
      <c r="F45" s="1112"/>
      <c r="G45" s="379"/>
      <c r="I45" s="667">
        <f t="shared" si="0"/>
        <v>1917</v>
      </c>
      <c r="J45" s="1114">
        <v>919818</v>
      </c>
      <c r="K45" s="379"/>
      <c r="L45" s="379"/>
      <c r="M45" s="379"/>
      <c r="N45" s="1112"/>
      <c r="O45" s="379"/>
      <c r="P45" s="379"/>
      <c r="Q45" s="324"/>
      <c r="R45" s="379"/>
      <c r="S45" s="379"/>
      <c r="T45" s="379"/>
      <c r="U45" s="379"/>
      <c r="V45" s="1112"/>
      <c r="W45" s="379"/>
      <c r="Y45" s="324"/>
      <c r="Z45" s="1113"/>
      <c r="AA45" s="54"/>
      <c r="AB45" s="54"/>
      <c r="AC45" s="54"/>
      <c r="AD45" s="54"/>
    </row>
    <row r="46" spans="1:30" ht="15.75" outlineLevel="1">
      <c r="A46" s="666">
        <v>1918</v>
      </c>
      <c r="B46" s="379"/>
      <c r="C46" s="379"/>
      <c r="D46" s="1111"/>
      <c r="E46" s="379"/>
      <c r="F46" s="1112"/>
      <c r="G46" s="379"/>
      <c r="I46" s="667">
        <f t="shared" si="0"/>
        <v>1918</v>
      </c>
      <c r="J46" s="1114">
        <v>1492356</v>
      </c>
      <c r="K46" s="379"/>
      <c r="L46" s="379"/>
      <c r="M46" s="379"/>
      <c r="N46" s="1112"/>
      <c r="O46" s="379"/>
      <c r="P46" s="379"/>
      <c r="Q46" s="324"/>
      <c r="R46" s="379"/>
      <c r="S46" s="379"/>
      <c r="T46" s="379"/>
      <c r="U46" s="379"/>
      <c r="V46" s="1112"/>
      <c r="W46" s="379"/>
      <c r="Y46" s="324"/>
      <c r="Z46" s="1113"/>
      <c r="AA46" s="54"/>
      <c r="AB46" s="54"/>
      <c r="AC46" s="54"/>
      <c r="AD46" s="54"/>
    </row>
    <row r="47" spans="1:30" ht="15.75" outlineLevel="1">
      <c r="A47" s="666">
        <v>1919</v>
      </c>
      <c r="B47" s="379"/>
      <c r="C47" s="379"/>
      <c r="D47" s="1111"/>
      <c r="E47" s="379"/>
      <c r="F47" s="1112"/>
      <c r="G47" s="379"/>
      <c r="I47" s="667">
        <f t="shared" si="0"/>
        <v>1919</v>
      </c>
      <c r="J47" s="1114">
        <v>1328643</v>
      </c>
      <c r="K47" s="379"/>
      <c r="L47" s="379"/>
      <c r="M47" s="379"/>
      <c r="N47" s="1112"/>
      <c r="O47" s="379"/>
      <c r="P47" s="379"/>
      <c r="Q47" s="324"/>
      <c r="R47" s="379"/>
      <c r="S47" s="379"/>
      <c r="T47" s="379"/>
      <c r="U47" s="379"/>
      <c r="V47" s="1112"/>
      <c r="W47" s="379"/>
      <c r="Y47" s="324"/>
      <c r="Z47" s="1113"/>
      <c r="AA47" s="54"/>
      <c r="AB47" s="54"/>
      <c r="AC47" s="54"/>
      <c r="AD47" s="54"/>
    </row>
    <row r="48" spans="1:30" ht="15.75" outlineLevel="1">
      <c r="A48" s="666">
        <v>1920</v>
      </c>
      <c r="B48" s="379"/>
      <c r="C48" s="379"/>
      <c r="D48" s="1111"/>
      <c r="E48" s="379"/>
      <c r="F48" s="1112"/>
      <c r="G48" s="379"/>
      <c r="I48" s="667">
        <f t="shared" si="0"/>
        <v>1920</v>
      </c>
      <c r="J48" s="1116">
        <v>854624</v>
      </c>
      <c r="K48" s="379"/>
      <c r="L48" s="379"/>
      <c r="M48" s="379"/>
      <c r="N48" s="1112"/>
      <c r="O48" s="379"/>
      <c r="P48" s="379"/>
      <c r="Q48" s="324"/>
      <c r="R48" s="379"/>
      <c r="S48" s="379"/>
      <c r="T48" s="379"/>
      <c r="U48" s="379"/>
      <c r="V48" s="1112"/>
      <c r="W48" s="379"/>
      <c r="Y48" s="324"/>
      <c r="Z48" s="1113"/>
      <c r="AA48" s="54"/>
      <c r="AB48" s="54"/>
      <c r="AC48" s="54"/>
      <c r="AD48" s="54"/>
    </row>
    <row r="49" spans="1:30" ht="15.75" outlineLevel="1">
      <c r="A49" s="666">
        <v>1921</v>
      </c>
      <c r="B49" s="379"/>
      <c r="C49" s="379"/>
      <c r="D49" s="1111"/>
      <c r="E49" s="379"/>
      <c r="F49" s="1112"/>
      <c r="G49" s="379"/>
      <c r="I49" s="667">
        <f t="shared" si="0"/>
        <v>1921</v>
      </c>
      <c r="J49" s="1114">
        <v>570291</v>
      </c>
      <c r="K49" s="379"/>
      <c r="L49" s="379"/>
      <c r="M49" s="379"/>
      <c r="N49" s="1112"/>
      <c r="O49" s="379"/>
      <c r="P49" s="379"/>
      <c r="Q49" s="324"/>
      <c r="R49" s="379"/>
      <c r="S49" s="379"/>
      <c r="T49" s="379"/>
      <c r="U49" s="379"/>
      <c r="V49" s="1112"/>
      <c r="W49" s="379"/>
      <c r="Y49" s="324"/>
      <c r="Z49" s="1113"/>
      <c r="AA49" s="54"/>
      <c r="AB49" s="54"/>
      <c r="AC49" s="54"/>
      <c r="AD49" s="54"/>
    </row>
    <row r="50" spans="1:30" ht="15.75" outlineLevel="1">
      <c r="A50" s="666">
        <v>1922</v>
      </c>
      <c r="B50" s="379"/>
      <c r="C50" s="379"/>
      <c r="D50" s="1111"/>
      <c r="E50" s="379"/>
      <c r="F50" s="1112"/>
      <c r="G50" s="379"/>
      <c r="I50" s="667">
        <f t="shared" si="0"/>
        <v>1922</v>
      </c>
      <c r="J50" s="1114">
        <v>505775</v>
      </c>
      <c r="K50" s="379"/>
      <c r="L50" s="379"/>
      <c r="M50" s="379"/>
      <c r="N50" s="1112"/>
      <c r="O50" s="379"/>
      <c r="P50" s="379"/>
      <c r="Q50" s="324"/>
      <c r="R50" s="379"/>
      <c r="S50" s="379"/>
      <c r="T50" s="379"/>
      <c r="U50" s="379"/>
      <c r="V50" s="1112"/>
      <c r="W50" s="379"/>
      <c r="Y50" s="324"/>
      <c r="Z50" s="1113"/>
      <c r="AA50" s="54"/>
      <c r="AB50" s="54"/>
      <c r="AC50" s="54"/>
      <c r="AD50" s="54"/>
    </row>
    <row r="51" spans="1:30" ht="15.75" outlineLevel="1">
      <c r="A51" s="666">
        <v>1923</v>
      </c>
      <c r="B51" s="379"/>
      <c r="C51" s="379"/>
      <c r="D51" s="1111"/>
      <c r="E51" s="379"/>
      <c r="F51" s="1112"/>
      <c r="G51" s="379"/>
      <c r="I51" s="667">
        <f t="shared" si="0"/>
        <v>1923</v>
      </c>
      <c r="J51" s="1114">
        <v>625875</v>
      </c>
      <c r="K51" s="379"/>
      <c r="L51" s="379"/>
      <c r="M51" s="379"/>
      <c r="N51" s="1112"/>
      <c r="O51" s="379"/>
      <c r="P51" s="379"/>
      <c r="Q51" s="324"/>
      <c r="R51" s="379"/>
      <c r="S51" s="379"/>
      <c r="T51" s="379"/>
      <c r="U51" s="379"/>
      <c r="V51" s="1112"/>
      <c r="W51" s="379"/>
      <c r="Y51" s="324"/>
      <c r="Z51" s="1113"/>
      <c r="AA51" s="54"/>
      <c r="AB51" s="54"/>
      <c r="AC51" s="54"/>
      <c r="AD51" s="54"/>
    </row>
    <row r="52" spans="1:30" ht="15.75" outlineLevel="1">
      <c r="A52" s="666">
        <v>1924</v>
      </c>
      <c r="B52" s="379"/>
      <c r="C52" s="379"/>
      <c r="D52" s="1111"/>
      <c r="E52" s="379"/>
      <c r="F52" s="1112"/>
      <c r="G52" s="379"/>
      <c r="I52" s="667">
        <f t="shared" si="0"/>
        <v>1924</v>
      </c>
      <c r="J52" s="1114">
        <v>790835</v>
      </c>
      <c r="K52" s="379"/>
      <c r="L52" s="379"/>
      <c r="M52" s="379"/>
      <c r="N52" s="1112"/>
      <c r="O52" s="379"/>
      <c r="P52" s="379"/>
      <c r="Q52" s="324"/>
      <c r="R52" s="379"/>
      <c r="S52" s="379"/>
      <c r="T52" s="379"/>
      <c r="U52" s="379"/>
      <c r="V52" s="1112"/>
      <c r="W52" s="379"/>
      <c r="Y52" s="324"/>
      <c r="Z52" s="1113"/>
      <c r="AA52" s="54"/>
      <c r="AB52" s="54"/>
      <c r="AC52" s="54"/>
      <c r="AD52" s="54"/>
    </row>
    <row r="53" spans="1:30" ht="15.75" outlineLevel="1">
      <c r="A53" s="666">
        <v>1925</v>
      </c>
      <c r="B53" s="379"/>
      <c r="C53" s="379"/>
      <c r="D53" s="1111"/>
      <c r="E53" s="379"/>
      <c r="F53" s="1112"/>
      <c r="G53" s="379"/>
      <c r="I53" s="667">
        <f t="shared" si="0"/>
        <v>1925</v>
      </c>
      <c r="J53" s="1114">
        <v>160721</v>
      </c>
      <c r="K53" s="379"/>
      <c r="L53" s="379"/>
      <c r="M53" s="379"/>
      <c r="N53" s="1112"/>
      <c r="O53" s="379"/>
      <c r="P53" s="379"/>
      <c r="Q53" s="324"/>
      <c r="R53" s="379"/>
      <c r="S53" s="379"/>
      <c r="T53" s="379"/>
      <c r="U53" s="379"/>
      <c r="V53" s="1112"/>
      <c r="W53" s="379"/>
      <c r="Y53" s="324"/>
      <c r="Z53" s="1113"/>
      <c r="AA53" s="54"/>
      <c r="AB53" s="54"/>
      <c r="AC53" s="54"/>
      <c r="AD53" s="54"/>
    </row>
    <row r="54" spans="1:30" ht="15.75" outlineLevel="1">
      <c r="A54" s="666">
        <v>1926</v>
      </c>
      <c r="B54" s="379"/>
      <c r="C54" s="379"/>
      <c r="D54" s="1111"/>
      <c r="E54" s="379"/>
      <c r="F54" s="1112"/>
      <c r="G54" s="379"/>
      <c r="I54" s="667">
        <f t="shared" si="0"/>
        <v>1926</v>
      </c>
      <c r="J54" s="1114">
        <v>211341</v>
      </c>
      <c r="K54" s="379"/>
      <c r="L54" s="379"/>
      <c r="M54" s="379"/>
      <c r="N54" s="1112"/>
      <c r="O54" s="379"/>
      <c r="P54" s="379"/>
      <c r="Q54" s="324"/>
      <c r="R54" s="379"/>
      <c r="S54" s="379"/>
      <c r="T54" s="379"/>
      <c r="U54" s="379"/>
      <c r="V54" s="1112"/>
      <c r="W54" s="379"/>
      <c r="Y54" s="324"/>
      <c r="Z54" s="1113"/>
      <c r="AA54" s="54"/>
      <c r="AB54" s="54"/>
      <c r="AC54" s="54"/>
      <c r="AD54" s="54"/>
    </row>
    <row r="55" spans="1:30" ht="15.75" outlineLevel="1">
      <c r="A55" s="666">
        <v>1927</v>
      </c>
      <c r="B55" s="379"/>
      <c r="C55" s="379"/>
      <c r="D55" s="1111"/>
      <c r="E55" s="379"/>
      <c r="F55" s="1112"/>
      <c r="G55" s="379"/>
      <c r="I55" s="667">
        <f t="shared" si="0"/>
        <v>1927</v>
      </c>
      <c r="J55" s="1114">
        <v>341291</v>
      </c>
      <c r="K55" s="379"/>
      <c r="L55" s="379"/>
      <c r="M55" s="379"/>
      <c r="N55" s="1112"/>
      <c r="O55" s="379"/>
      <c r="P55" s="379"/>
      <c r="Q55" s="324"/>
      <c r="R55" s="379"/>
      <c r="S55" s="379"/>
      <c r="T55" s="379"/>
      <c r="U55" s="379"/>
      <c r="V55" s="1112"/>
      <c r="W55" s="379"/>
      <c r="Y55" s="324"/>
      <c r="Z55" s="1113"/>
      <c r="AA55" s="54"/>
      <c r="AB55" s="54"/>
      <c r="AC55" s="54"/>
      <c r="AD55" s="54"/>
    </row>
    <row r="56" spans="1:30" ht="15.75" outlineLevel="1">
      <c r="A56" s="666">
        <v>1928</v>
      </c>
      <c r="B56" s="379"/>
      <c r="C56" s="379"/>
      <c r="D56" s="1111"/>
      <c r="E56" s="379"/>
      <c r="F56" s="1112"/>
      <c r="G56" s="379"/>
      <c r="I56" s="667">
        <f t="shared" si="0"/>
        <v>1928</v>
      </c>
      <c r="J56" s="1114">
        <v>584319</v>
      </c>
      <c r="K56" s="379"/>
      <c r="L56" s="379"/>
      <c r="M56" s="379"/>
      <c r="N56" s="1112"/>
      <c r="O56" s="379"/>
      <c r="P56" s="379"/>
      <c r="Q56" s="324"/>
      <c r="R56" s="379"/>
      <c r="S56" s="379"/>
      <c r="T56" s="379"/>
      <c r="U56" s="379"/>
      <c r="V56" s="1112"/>
      <c r="W56" s="379"/>
      <c r="Y56" s="324"/>
      <c r="Z56" s="1113"/>
      <c r="AA56" s="54"/>
      <c r="AB56" s="54"/>
      <c r="AC56" s="54"/>
      <c r="AD56" s="54"/>
    </row>
    <row r="57" spans="1:30" ht="15.75" outlineLevel="1">
      <c r="A57" s="666">
        <v>1929</v>
      </c>
      <c r="B57" s="379"/>
      <c r="C57" s="379"/>
      <c r="D57" s="1111"/>
      <c r="E57" s="379"/>
      <c r="F57" s="1112"/>
      <c r="G57" s="379"/>
      <c r="I57" s="667">
        <f t="shared" si="0"/>
        <v>1929</v>
      </c>
      <c r="J57" s="1114">
        <v>918065</v>
      </c>
      <c r="K57" s="379"/>
      <c r="L57" s="379"/>
      <c r="M57" s="379"/>
      <c r="N57" s="1112"/>
      <c r="O57" s="379"/>
      <c r="P57" s="379"/>
      <c r="Q57" s="324"/>
      <c r="R57" s="379"/>
      <c r="S57" s="379"/>
      <c r="T57" s="379"/>
      <c r="U57" s="379"/>
      <c r="V57" s="1112"/>
      <c r="W57" s="379"/>
      <c r="Y57" s="324"/>
      <c r="Z57" s="1113"/>
      <c r="AA57" s="54"/>
      <c r="AB57" s="54"/>
      <c r="AC57" s="54"/>
      <c r="AD57" s="54"/>
    </row>
    <row r="58" spans="1:30" ht="15.75" outlineLevel="1">
      <c r="A58" s="666">
        <v>1930</v>
      </c>
      <c r="B58" s="379"/>
      <c r="C58" s="379"/>
      <c r="D58" s="1111"/>
      <c r="E58" s="379"/>
      <c r="F58" s="1112"/>
      <c r="G58" s="379"/>
      <c r="I58" s="667">
        <f t="shared" si="0"/>
        <v>1930</v>
      </c>
      <c r="J58" s="1114">
        <v>805999</v>
      </c>
      <c r="K58" s="379"/>
      <c r="L58" s="379"/>
      <c r="M58" s="379"/>
      <c r="N58" s="1112"/>
      <c r="O58" s="379"/>
      <c r="P58" s="379"/>
      <c r="Q58" s="324"/>
      <c r="R58" s="379"/>
      <c r="S58" s="379"/>
      <c r="T58" s="379"/>
      <c r="U58" s="379"/>
      <c r="V58" s="1112"/>
      <c r="W58" s="379"/>
      <c r="Y58" s="324"/>
      <c r="Z58" s="1113"/>
      <c r="AA58" s="54"/>
      <c r="AB58" s="54"/>
      <c r="AC58" s="54"/>
      <c r="AD58" s="54"/>
    </row>
    <row r="59" spans="1:30" ht="15.75" outlineLevel="1">
      <c r="A59" s="666">
        <v>1931</v>
      </c>
      <c r="B59" s="379"/>
      <c r="C59" s="379"/>
      <c r="D59" s="1111"/>
      <c r="E59" s="379"/>
      <c r="F59" s="1112"/>
      <c r="G59" s="379"/>
      <c r="I59" s="667">
        <f t="shared" si="0"/>
        <v>1931</v>
      </c>
      <c r="J59" s="1114">
        <v>804497</v>
      </c>
      <c r="K59" s="379"/>
      <c r="L59" s="379"/>
      <c r="M59" s="379"/>
      <c r="N59" s="1112"/>
      <c r="O59" s="379"/>
      <c r="P59" s="379"/>
      <c r="Q59" s="324"/>
      <c r="R59" s="379"/>
      <c r="S59" s="379"/>
      <c r="T59" s="379"/>
      <c r="U59" s="379"/>
      <c r="V59" s="1112"/>
      <c r="W59" s="379"/>
      <c r="Y59" s="324"/>
      <c r="Z59" s="1113"/>
      <c r="AA59" s="54"/>
      <c r="AB59" s="54"/>
      <c r="AC59" s="54"/>
      <c r="AD59" s="54"/>
    </row>
    <row r="60" spans="1:30" ht="15.75" outlineLevel="1">
      <c r="A60" s="666">
        <v>1932</v>
      </c>
      <c r="B60" s="379"/>
      <c r="C60" s="379"/>
      <c r="D60" s="1111"/>
      <c r="E60" s="379"/>
      <c r="F60" s="1112"/>
      <c r="G60" s="379"/>
      <c r="I60" s="667">
        <f t="shared" si="0"/>
        <v>1932</v>
      </c>
      <c r="J60" s="1114">
        <v>828920</v>
      </c>
      <c r="K60" s="379"/>
      <c r="L60" s="379"/>
      <c r="M60" s="379"/>
      <c r="N60" s="1112"/>
      <c r="O60" s="379"/>
      <c r="P60" s="379"/>
      <c r="Q60" s="324"/>
      <c r="R60" s="379"/>
      <c r="S60" s="379"/>
      <c r="T60" s="379"/>
      <c r="U60" s="379"/>
      <c r="V60" s="1112"/>
      <c r="W60" s="379"/>
      <c r="Y60" s="324"/>
      <c r="Z60" s="1113"/>
      <c r="AA60" s="54"/>
      <c r="AB60" s="54"/>
      <c r="AC60" s="54"/>
      <c r="AD60" s="54"/>
    </row>
    <row r="61" spans="1:30" ht="15.75" outlineLevel="1">
      <c r="A61" s="666">
        <v>1933</v>
      </c>
      <c r="B61" s="379"/>
      <c r="C61" s="379"/>
      <c r="D61" s="1111"/>
      <c r="E61" s="379"/>
      <c r="F61" s="1112"/>
      <c r="G61" s="379"/>
      <c r="I61" s="667">
        <f t="shared" si="0"/>
        <v>1933</v>
      </c>
      <c r="J61" s="1114">
        <v>645540</v>
      </c>
      <c r="K61" s="379"/>
      <c r="L61" s="379"/>
      <c r="M61" s="379"/>
      <c r="N61" s="1112"/>
      <c r="O61" s="379"/>
      <c r="P61" s="379"/>
      <c r="Q61" s="324"/>
      <c r="R61" s="379"/>
      <c r="S61" s="379"/>
      <c r="T61" s="379"/>
      <c r="U61" s="379"/>
      <c r="V61" s="1112"/>
      <c r="W61" s="379"/>
      <c r="Y61" s="324"/>
      <c r="Z61" s="1113"/>
      <c r="AA61" s="54"/>
      <c r="AB61" s="54"/>
      <c r="AC61" s="54"/>
      <c r="AD61" s="54"/>
    </row>
    <row r="62" spans="1:30" ht="15.75" outlineLevel="1">
      <c r="A62" s="666">
        <v>1934</v>
      </c>
      <c r="B62" s="379"/>
      <c r="C62" s="379"/>
      <c r="D62" s="1111"/>
      <c r="E62" s="379"/>
      <c r="F62" s="1112"/>
      <c r="G62" s="379"/>
      <c r="I62" s="667">
        <f t="shared" si="0"/>
        <v>1934</v>
      </c>
      <c r="J62" s="1115">
        <v>975916</v>
      </c>
      <c r="K62" s="379"/>
      <c r="L62" s="379"/>
      <c r="M62" s="379"/>
      <c r="N62" s="1112"/>
      <c r="O62" s="379"/>
      <c r="P62" s="379"/>
      <c r="Q62" s="324"/>
      <c r="R62" s="379"/>
      <c r="S62" s="379"/>
      <c r="T62" s="379"/>
      <c r="U62" s="379"/>
      <c r="V62" s="1112"/>
      <c r="W62" s="379"/>
      <c r="Y62" s="324"/>
      <c r="Z62" s="1113"/>
      <c r="AA62" s="54"/>
      <c r="AB62" s="54"/>
      <c r="AC62" s="54"/>
      <c r="AD62" s="54"/>
    </row>
    <row r="63" spans="1:30" ht="15.75" outlineLevel="1">
      <c r="A63" s="666">
        <v>1935</v>
      </c>
      <c r="B63" s="379"/>
      <c r="C63" s="379"/>
      <c r="D63" s="1111"/>
      <c r="E63" s="379"/>
      <c r="F63" s="1112"/>
      <c r="G63" s="379"/>
      <c r="I63" s="667">
        <f t="shared" si="0"/>
        <v>1935</v>
      </c>
      <c r="J63" s="1114">
        <v>111579</v>
      </c>
      <c r="K63" s="379"/>
      <c r="L63" s="379"/>
      <c r="M63" s="379"/>
      <c r="N63" s="1112"/>
      <c r="O63" s="379"/>
      <c r="P63" s="379"/>
      <c r="Q63" s="324"/>
      <c r="R63" s="379"/>
      <c r="S63" s="379"/>
      <c r="T63" s="379"/>
      <c r="U63" s="379"/>
      <c r="V63" s="1112"/>
      <c r="W63" s="379"/>
      <c r="Y63" s="324"/>
      <c r="Z63" s="1113"/>
      <c r="AA63" s="54"/>
      <c r="AB63" s="54"/>
      <c r="AC63" s="54"/>
      <c r="AD63" s="54"/>
    </row>
    <row r="64" spans="1:30" ht="15.75" outlineLevel="1">
      <c r="A64" s="666">
        <v>1936</v>
      </c>
      <c r="B64" s="379"/>
      <c r="C64" s="379"/>
      <c r="D64" s="1111"/>
      <c r="E64" s="379"/>
      <c r="F64" s="1112"/>
      <c r="G64" s="379"/>
      <c r="I64" s="667">
        <f t="shared" si="0"/>
        <v>1936</v>
      </c>
      <c r="J64" s="1114">
        <v>862789</v>
      </c>
      <c r="K64" s="379"/>
      <c r="L64" s="379"/>
      <c r="M64" s="379"/>
      <c r="N64" s="1112"/>
      <c r="O64" s="379"/>
      <c r="P64" s="379"/>
      <c r="Q64" s="324"/>
      <c r="R64" s="379"/>
      <c r="S64" s="379"/>
      <c r="T64" s="379"/>
      <c r="U64" s="379"/>
      <c r="V64" s="1112"/>
      <c r="W64" s="379"/>
      <c r="Y64" s="324"/>
      <c r="Z64" s="1113"/>
      <c r="AA64" s="54"/>
      <c r="AB64" s="54"/>
      <c r="AC64" s="54"/>
      <c r="AD64" s="54"/>
    </row>
    <row r="65" spans="1:30" ht="15.75" outlineLevel="1">
      <c r="A65" s="666">
        <v>1937</v>
      </c>
      <c r="B65" s="379"/>
      <c r="C65" s="379"/>
      <c r="D65" s="1111"/>
      <c r="E65" s="379"/>
      <c r="F65" s="1112"/>
      <c r="G65" s="379"/>
      <c r="I65" s="667">
        <f t="shared" si="0"/>
        <v>1937</v>
      </c>
      <c r="J65" s="1114">
        <v>1024416</v>
      </c>
      <c r="K65" s="379"/>
      <c r="L65" s="379"/>
      <c r="M65" s="379"/>
      <c r="N65" s="1112"/>
      <c r="O65" s="379"/>
      <c r="P65" s="379"/>
      <c r="Q65" s="324"/>
      <c r="R65" s="379"/>
      <c r="S65" s="379"/>
      <c r="T65" s="379"/>
      <c r="U65" s="379"/>
      <c r="V65" s="1112"/>
      <c r="W65" s="379"/>
      <c r="Y65" s="324"/>
      <c r="Z65" s="1113"/>
      <c r="AA65" s="54"/>
      <c r="AB65" s="54"/>
      <c r="AC65" s="54"/>
      <c r="AD65" s="54"/>
    </row>
    <row r="66" spans="1:30" ht="15.75" outlineLevel="1">
      <c r="A66" s="666">
        <v>1938</v>
      </c>
      <c r="B66" s="379"/>
      <c r="C66" s="379"/>
      <c r="D66" s="1111"/>
      <c r="E66" s="379"/>
      <c r="F66" s="1112"/>
      <c r="G66" s="379"/>
      <c r="I66" s="667">
        <f t="shared" si="0"/>
        <v>1938</v>
      </c>
      <c r="J66" s="1114">
        <v>767721</v>
      </c>
      <c r="K66" s="379"/>
      <c r="L66" s="379"/>
      <c r="M66" s="379"/>
      <c r="N66" s="1112"/>
      <c r="O66" s="379"/>
      <c r="P66" s="379"/>
      <c r="Q66" s="324"/>
      <c r="R66" s="379"/>
      <c r="S66" s="379"/>
      <c r="T66" s="379"/>
      <c r="U66" s="379"/>
      <c r="V66" s="1112"/>
      <c r="W66" s="379"/>
      <c r="Y66" s="324"/>
      <c r="Z66" s="1113"/>
      <c r="AA66" s="54"/>
      <c r="AB66" s="54"/>
      <c r="AC66" s="54"/>
      <c r="AD66" s="54"/>
    </row>
    <row r="67" spans="1:30" ht="15.75" outlineLevel="1">
      <c r="A67" s="666">
        <v>1939</v>
      </c>
      <c r="B67" s="379"/>
      <c r="C67" s="379"/>
      <c r="D67" s="1111"/>
      <c r="E67" s="379"/>
      <c r="F67" s="1112"/>
      <c r="G67" s="379"/>
      <c r="I67" s="667">
        <f t="shared" si="0"/>
        <v>1939</v>
      </c>
      <c r="J67" s="1114">
        <v>633733</v>
      </c>
      <c r="K67" s="379"/>
      <c r="L67" s="379"/>
      <c r="M67" s="379"/>
      <c r="N67" s="1112"/>
      <c r="O67" s="379"/>
      <c r="P67" s="379"/>
      <c r="Q67" s="324"/>
      <c r="R67" s="379"/>
      <c r="S67" s="379"/>
      <c r="T67" s="379"/>
      <c r="U67" s="379"/>
      <c r="V67" s="1112"/>
      <c r="W67" s="379"/>
      <c r="Y67" s="324"/>
      <c r="Z67" s="1113"/>
      <c r="AA67" s="54"/>
      <c r="AB67" s="54"/>
      <c r="AC67" s="54"/>
      <c r="AD67" s="54"/>
    </row>
    <row r="68" spans="1:30" ht="15.75" outlineLevel="1">
      <c r="A68" s="666">
        <v>1940</v>
      </c>
      <c r="B68" s="379"/>
      <c r="C68" s="379"/>
      <c r="D68" s="1111"/>
      <c r="E68" s="379"/>
      <c r="F68" s="1112"/>
      <c r="G68" s="379"/>
      <c r="I68" s="667">
        <f t="shared" si="0"/>
        <v>1940</v>
      </c>
      <c r="J68" s="1114">
        <v>435993</v>
      </c>
      <c r="K68" s="379"/>
      <c r="L68" s="379"/>
      <c r="M68" s="379"/>
      <c r="N68" s="1112"/>
      <c r="O68" s="379"/>
      <c r="P68" s="379"/>
      <c r="Q68" s="324"/>
      <c r="R68" s="379"/>
      <c r="S68" s="379"/>
      <c r="T68" s="379"/>
      <c r="U68" s="379"/>
      <c r="V68" s="1112"/>
      <c r="W68" s="379"/>
      <c r="Y68" s="324"/>
      <c r="Z68" s="1113"/>
      <c r="AA68" s="54"/>
      <c r="AB68" s="54"/>
      <c r="AC68" s="54"/>
      <c r="AD68" s="54"/>
    </row>
    <row r="69" spans="1:30" ht="15.75" outlineLevel="1">
      <c r="A69" s="666">
        <v>1941</v>
      </c>
      <c r="B69" s="379"/>
      <c r="C69" s="379"/>
      <c r="D69" s="1111"/>
      <c r="E69" s="379"/>
      <c r="F69" s="1112"/>
      <c r="G69" s="379"/>
      <c r="I69" s="667">
        <f t="shared" si="0"/>
        <v>1941</v>
      </c>
      <c r="J69" s="1114">
        <v>432941</v>
      </c>
      <c r="K69" s="379"/>
      <c r="L69" s="379"/>
      <c r="M69" s="379"/>
      <c r="N69" s="1112"/>
      <c r="O69" s="379"/>
      <c r="P69" s="379"/>
      <c r="Q69" s="324"/>
      <c r="R69" s="379"/>
      <c r="S69" s="379"/>
      <c r="T69" s="379"/>
      <c r="U69" s="379"/>
      <c r="V69" s="1112"/>
      <c r="W69" s="379"/>
      <c r="Y69" s="324"/>
      <c r="Z69" s="1113"/>
      <c r="AA69" s="54"/>
      <c r="AB69" s="54"/>
      <c r="AC69" s="54"/>
      <c r="AD69" s="54"/>
    </row>
    <row r="70" spans="1:30" ht="15.75" outlineLevel="1">
      <c r="A70" s="666">
        <v>1942</v>
      </c>
      <c r="B70" s="379"/>
      <c r="C70" s="379"/>
      <c r="D70" s="1111"/>
      <c r="E70" s="379"/>
      <c r="F70" s="1112"/>
      <c r="G70" s="379"/>
      <c r="I70" s="667">
        <f t="shared" si="0"/>
        <v>1942</v>
      </c>
      <c r="J70" s="1114">
        <v>562092</v>
      </c>
      <c r="K70" s="379"/>
      <c r="L70" s="379"/>
      <c r="M70" s="379"/>
      <c r="N70" s="1112"/>
      <c r="O70" s="379"/>
      <c r="P70" s="379"/>
      <c r="Q70" s="324"/>
      <c r="R70" s="379"/>
      <c r="S70" s="379"/>
      <c r="T70" s="379"/>
      <c r="U70" s="379"/>
      <c r="V70" s="1112"/>
      <c r="W70" s="379"/>
      <c r="Y70" s="324"/>
      <c r="Z70" s="1113"/>
      <c r="AA70" s="54"/>
      <c r="AB70" s="54"/>
      <c r="AC70" s="54"/>
      <c r="AD70" s="54"/>
    </row>
    <row r="71" spans="1:30" ht="15.75" outlineLevel="1">
      <c r="A71" s="666">
        <v>1943</v>
      </c>
      <c r="B71" s="379"/>
      <c r="C71" s="379"/>
      <c r="D71" s="1111"/>
      <c r="E71" s="379"/>
      <c r="F71" s="1112"/>
      <c r="G71" s="379"/>
      <c r="I71" s="667">
        <f t="shared" si="0"/>
        <v>1943</v>
      </c>
      <c r="J71" s="1114">
        <v>700439</v>
      </c>
      <c r="K71" s="379"/>
      <c r="L71" s="379"/>
      <c r="M71" s="379"/>
      <c r="N71" s="1112"/>
      <c r="O71" s="379"/>
      <c r="P71" s="379"/>
      <c r="Q71" s="324"/>
      <c r="R71" s="379"/>
      <c r="S71" s="379"/>
      <c r="T71" s="379"/>
      <c r="U71" s="379"/>
      <c r="V71" s="1112"/>
      <c r="W71" s="379"/>
      <c r="Y71" s="324"/>
      <c r="Z71" s="1113"/>
      <c r="AA71" s="54"/>
      <c r="AB71" s="54"/>
      <c r="AC71" s="54"/>
      <c r="AD71" s="54"/>
    </row>
    <row r="72" spans="1:30" ht="15.75" outlineLevel="1">
      <c r="A72" s="666">
        <v>1944</v>
      </c>
      <c r="B72" s="379"/>
      <c r="C72" s="379"/>
      <c r="D72" s="1111"/>
      <c r="E72" s="379"/>
      <c r="F72" s="1112"/>
      <c r="G72" s="379"/>
      <c r="I72" s="667">
        <f t="shared" si="0"/>
        <v>1944</v>
      </c>
      <c r="J72" s="1114">
        <v>769552</v>
      </c>
      <c r="K72" s="379"/>
      <c r="L72" s="379"/>
      <c r="M72" s="379"/>
      <c r="N72" s="1112"/>
      <c r="O72" s="379"/>
      <c r="P72" s="379"/>
      <c r="Q72" s="324"/>
      <c r="R72" s="379"/>
      <c r="S72" s="379"/>
      <c r="T72" s="379"/>
      <c r="U72" s="379"/>
      <c r="V72" s="1112"/>
      <c r="W72" s="379"/>
      <c r="Y72" s="324"/>
      <c r="Z72" s="1113"/>
      <c r="AA72" s="54"/>
      <c r="AB72" s="54"/>
      <c r="AC72" s="54"/>
      <c r="AD72" s="54"/>
    </row>
    <row r="73" spans="1:30" ht="15.75" outlineLevel="1">
      <c r="A73" s="666">
        <v>1945</v>
      </c>
      <c r="B73" s="379"/>
      <c r="C73" s="379"/>
      <c r="D73" s="1111"/>
      <c r="E73" s="379"/>
      <c r="F73" s="1112"/>
      <c r="G73" s="379"/>
      <c r="I73" s="667">
        <f t="shared" si="0"/>
        <v>1945</v>
      </c>
      <c r="J73" s="1114">
        <v>823805</v>
      </c>
      <c r="K73" s="379"/>
      <c r="L73" s="379"/>
      <c r="M73" s="379"/>
      <c r="N73" s="1112"/>
      <c r="O73" s="379"/>
      <c r="P73" s="379"/>
      <c r="Q73" s="324"/>
      <c r="R73" s="379"/>
      <c r="S73" s="379"/>
      <c r="T73" s="379"/>
      <c r="U73" s="379"/>
      <c r="V73" s="1112"/>
      <c r="W73" s="379"/>
      <c r="Y73" s="324"/>
      <c r="Z73" s="1113"/>
      <c r="AA73" s="54"/>
      <c r="AB73" s="54"/>
      <c r="AC73" s="54"/>
      <c r="AD73" s="54"/>
    </row>
    <row r="74" spans="1:30" ht="15.75" outlineLevel="1">
      <c r="A74" s="666">
        <v>1946</v>
      </c>
      <c r="B74" s="379"/>
      <c r="C74" s="379"/>
      <c r="D74" s="1111"/>
      <c r="E74" s="379"/>
      <c r="F74" s="1112"/>
      <c r="G74" s="379"/>
      <c r="I74" s="667">
        <f t="shared" si="0"/>
        <v>1946</v>
      </c>
      <c r="J74" s="1114">
        <v>538407</v>
      </c>
      <c r="K74" s="379"/>
      <c r="L74" s="379"/>
      <c r="M74" s="379"/>
      <c r="N74" s="1112"/>
      <c r="O74" s="379"/>
      <c r="P74" s="379"/>
      <c r="Q74" s="324"/>
      <c r="R74" s="379"/>
      <c r="S74" s="379"/>
      <c r="T74" s="379"/>
      <c r="U74" s="379"/>
      <c r="V74" s="1112"/>
      <c r="W74" s="379"/>
      <c r="Y74" s="324"/>
      <c r="Z74" s="1113"/>
      <c r="AA74" s="54"/>
      <c r="AB74" s="54"/>
      <c r="AC74" s="54"/>
      <c r="AD74" s="54"/>
    </row>
    <row r="75" spans="1:30" ht="15.75" outlineLevel="1">
      <c r="A75" s="666">
        <v>1947</v>
      </c>
      <c r="B75" s="379"/>
      <c r="C75" s="379"/>
      <c r="D75" s="1111"/>
      <c r="E75" s="379"/>
      <c r="F75" s="1112"/>
      <c r="G75" s="379"/>
      <c r="I75" s="667">
        <f t="shared" si="0"/>
        <v>1947</v>
      </c>
      <c r="J75" s="1114">
        <v>352077</v>
      </c>
      <c r="K75" s="379"/>
      <c r="L75" s="379"/>
      <c r="M75" s="379"/>
      <c r="N75" s="1112"/>
      <c r="O75" s="379"/>
      <c r="P75" s="379"/>
      <c r="Q75" s="324"/>
      <c r="R75" s="379"/>
      <c r="S75" s="379"/>
      <c r="T75" s="379"/>
      <c r="U75" s="379"/>
      <c r="V75" s="1112"/>
      <c r="W75" s="379"/>
      <c r="Y75" s="324"/>
      <c r="Z75" s="1113"/>
      <c r="AA75" s="54"/>
      <c r="AB75" s="54"/>
      <c r="AC75" s="54"/>
      <c r="AD75" s="54"/>
    </row>
    <row r="76" spans="1:30" ht="15.75" outlineLevel="1">
      <c r="A76" s="666">
        <v>1948</v>
      </c>
      <c r="B76" s="379"/>
      <c r="C76" s="379"/>
      <c r="D76" s="1111"/>
      <c r="E76" s="379"/>
      <c r="F76" s="1112"/>
      <c r="G76" s="379"/>
      <c r="I76" s="667">
        <f t="shared" si="0"/>
        <v>1948</v>
      </c>
      <c r="J76" s="1114">
        <v>168724</v>
      </c>
      <c r="K76" s="379"/>
      <c r="L76" s="379"/>
      <c r="M76" s="379"/>
      <c r="N76" s="1112"/>
      <c r="O76" s="379"/>
      <c r="P76" s="379"/>
      <c r="Q76" s="324"/>
      <c r="R76" s="379"/>
      <c r="S76" s="379"/>
      <c r="T76" s="379"/>
      <c r="U76" s="379"/>
      <c r="V76" s="1112"/>
      <c r="W76" s="379"/>
      <c r="Y76" s="324"/>
      <c r="Z76" s="1113"/>
      <c r="AA76" s="54"/>
      <c r="AB76" s="54"/>
      <c r="AC76" s="54"/>
      <c r="AD76" s="54"/>
    </row>
    <row r="77" spans="1:30" ht="15.75" outlineLevel="1">
      <c r="A77" s="666">
        <v>1949</v>
      </c>
      <c r="B77" s="379"/>
      <c r="C77" s="379"/>
      <c r="D77" s="1111"/>
      <c r="E77" s="379"/>
      <c r="F77" s="1112"/>
      <c r="G77" s="379"/>
      <c r="I77" s="667">
        <f t="shared" si="0"/>
        <v>1949</v>
      </c>
      <c r="J77" s="1114">
        <v>441776</v>
      </c>
      <c r="K77" s="379"/>
      <c r="L77" s="379"/>
      <c r="M77" s="379"/>
      <c r="N77" s="1112"/>
      <c r="O77" s="379"/>
      <c r="P77" s="379"/>
      <c r="Q77" s="324"/>
      <c r="R77" s="379"/>
      <c r="S77" s="379"/>
      <c r="T77" s="379"/>
      <c r="U77" s="379"/>
      <c r="V77" s="1112"/>
      <c r="W77" s="379"/>
      <c r="Y77" s="324"/>
      <c r="Z77" s="1113"/>
      <c r="AA77" s="54"/>
      <c r="AB77" s="54"/>
      <c r="AC77" s="54"/>
      <c r="AD77" s="54"/>
    </row>
    <row r="78" spans="1:30" ht="15.75" outlineLevel="1">
      <c r="A78" s="666">
        <v>1950</v>
      </c>
      <c r="B78" s="379"/>
      <c r="C78" s="379"/>
      <c r="D78" s="1111"/>
      <c r="E78" s="379"/>
      <c r="F78" s="1112"/>
      <c r="G78" s="379"/>
      <c r="I78" s="667">
        <f t="shared" si="0"/>
        <v>1950</v>
      </c>
      <c r="J78" s="1114">
        <v>800451</v>
      </c>
      <c r="K78" s="379"/>
      <c r="L78" s="379"/>
      <c r="M78" s="379"/>
      <c r="N78" s="1112"/>
      <c r="O78" s="379"/>
      <c r="P78" s="379"/>
      <c r="Q78" s="324"/>
      <c r="R78" s="379"/>
      <c r="S78" s="379"/>
      <c r="T78" s="379"/>
      <c r="U78" s="379"/>
      <c r="V78" s="1112"/>
      <c r="W78" s="379"/>
      <c r="Y78" s="324"/>
      <c r="Z78" s="1113"/>
      <c r="AA78" s="54"/>
      <c r="AB78" s="54"/>
      <c r="AC78" s="54"/>
      <c r="AD78" s="54"/>
    </row>
    <row r="79" spans="1:30" ht="15.75" outlineLevel="1">
      <c r="A79" s="666">
        <v>1951</v>
      </c>
      <c r="B79" s="379"/>
      <c r="C79" s="379"/>
      <c r="D79" s="1111"/>
      <c r="E79" s="379"/>
      <c r="F79" s="1112"/>
      <c r="G79" s="379"/>
      <c r="I79" s="667">
        <f t="shared" si="0"/>
        <v>1951</v>
      </c>
      <c r="J79" s="1114">
        <v>451943</v>
      </c>
      <c r="K79" s="379"/>
      <c r="L79" s="379"/>
      <c r="M79" s="379"/>
      <c r="N79" s="1112"/>
      <c r="O79" s="379"/>
      <c r="P79" s="379"/>
      <c r="Q79" s="324"/>
      <c r="R79" s="379"/>
      <c r="S79" s="379"/>
      <c r="T79" s="379"/>
      <c r="U79" s="379"/>
      <c r="V79" s="1112"/>
      <c r="W79" s="379"/>
      <c r="Y79" s="324"/>
      <c r="Z79" s="1113"/>
      <c r="AA79" s="54"/>
      <c r="AB79" s="54"/>
      <c r="AC79" s="54"/>
      <c r="AD79" s="54"/>
    </row>
    <row r="80" spans="1:30" ht="15.75" outlineLevel="1">
      <c r="A80" s="666">
        <v>1952</v>
      </c>
      <c r="B80" s="379"/>
      <c r="C80" s="379"/>
      <c r="D80" s="1111"/>
      <c r="E80" s="379"/>
      <c r="F80" s="1112"/>
      <c r="G80" s="379"/>
      <c r="I80" s="667">
        <f t="shared" si="0"/>
        <v>1952</v>
      </c>
      <c r="J80" s="1114">
        <v>1136316</v>
      </c>
      <c r="K80" s="379"/>
      <c r="L80" s="379"/>
      <c r="M80" s="379"/>
      <c r="N80" s="1112"/>
      <c r="O80" s="379"/>
      <c r="P80" s="379"/>
      <c r="Q80" s="324"/>
      <c r="R80" s="379"/>
      <c r="S80" s="379"/>
      <c r="T80" s="379"/>
      <c r="U80" s="379"/>
      <c r="V80" s="1112"/>
      <c r="W80" s="379"/>
      <c r="Y80" s="324"/>
      <c r="Z80" s="1113"/>
      <c r="AA80" s="54"/>
      <c r="AB80" s="54"/>
      <c r="AC80" s="54"/>
      <c r="AD80" s="54"/>
    </row>
    <row r="81" spans="1:56" ht="15.75" outlineLevel="1">
      <c r="A81" s="666">
        <v>1953</v>
      </c>
      <c r="B81" s="379"/>
      <c r="C81" s="379"/>
      <c r="D81" s="1111"/>
      <c r="E81" s="379"/>
      <c r="F81" s="1112"/>
      <c r="G81" s="379"/>
      <c r="I81" s="667">
        <f t="shared" ref="I81:I87" si="1">A81</f>
        <v>1953</v>
      </c>
      <c r="J81" s="1114">
        <v>563708</v>
      </c>
      <c r="K81" s="379"/>
      <c r="L81" s="379"/>
      <c r="M81" s="379"/>
      <c r="N81" s="1112"/>
      <c r="O81" s="379"/>
      <c r="P81" s="379"/>
      <c r="Q81" s="324"/>
      <c r="R81" s="379"/>
      <c r="S81" s="379"/>
      <c r="T81" s="379"/>
      <c r="U81" s="379"/>
      <c r="V81" s="1112"/>
      <c r="W81" s="379"/>
      <c r="Y81" s="324"/>
      <c r="Z81" s="1113"/>
      <c r="AA81" s="54"/>
      <c r="AB81" s="54"/>
      <c r="AC81" s="54"/>
      <c r="AD81" s="54"/>
    </row>
    <row r="82" spans="1:56" ht="15.75" outlineLevel="1">
      <c r="A82" s="666">
        <v>1954</v>
      </c>
      <c r="B82" s="379"/>
      <c r="C82" s="379"/>
      <c r="D82" s="1111"/>
      <c r="E82" s="379"/>
      <c r="F82" s="1112"/>
      <c r="G82" s="379"/>
      <c r="I82" s="667">
        <f t="shared" si="1"/>
        <v>1954</v>
      </c>
      <c r="J82" s="1114">
        <v>1099564</v>
      </c>
      <c r="K82" s="379"/>
      <c r="L82" s="379"/>
      <c r="M82" s="379"/>
      <c r="N82" s="1112"/>
      <c r="O82" s="379"/>
      <c r="P82" s="379"/>
      <c r="Q82" s="324"/>
      <c r="R82" s="379"/>
      <c r="S82" s="379"/>
      <c r="T82" s="379"/>
      <c r="U82" s="379"/>
      <c r="V82" s="1112"/>
      <c r="W82" s="379"/>
      <c r="Y82" s="324"/>
      <c r="Z82" s="1113"/>
      <c r="AA82" s="54"/>
      <c r="AB82" s="54"/>
      <c r="AC82" s="54"/>
      <c r="AD82" s="54"/>
    </row>
    <row r="83" spans="1:56" ht="15.75" outlineLevel="1">
      <c r="A83" s="666">
        <v>1955</v>
      </c>
      <c r="B83" s="379"/>
      <c r="C83" s="379"/>
      <c r="D83" s="1111"/>
      <c r="E83" s="379"/>
      <c r="F83" s="1112"/>
      <c r="G83" s="379"/>
      <c r="I83" s="667">
        <f t="shared" si="1"/>
        <v>1955</v>
      </c>
      <c r="J83" s="1114">
        <v>636705</v>
      </c>
      <c r="K83" s="379"/>
      <c r="L83" s="379"/>
      <c r="M83" s="379"/>
      <c r="N83" s="1112"/>
      <c r="O83" s="379"/>
      <c r="P83" s="379"/>
      <c r="Q83" s="324"/>
      <c r="R83" s="379"/>
      <c r="S83" s="379"/>
      <c r="T83" s="379"/>
      <c r="U83" s="379"/>
      <c r="V83" s="1112"/>
      <c r="W83" s="379"/>
      <c r="Y83" s="324"/>
      <c r="Z83" s="1113"/>
      <c r="AA83" s="54"/>
      <c r="AB83" s="54"/>
      <c r="AC83" s="54"/>
      <c r="AD83" s="54"/>
    </row>
    <row r="84" spans="1:56" ht="15.75" outlineLevel="1">
      <c r="A84" s="666">
        <v>1956</v>
      </c>
      <c r="B84" s="379"/>
      <c r="C84" s="379"/>
      <c r="D84" s="1111"/>
      <c r="E84" s="379"/>
      <c r="F84" s="1112"/>
      <c r="G84" s="379"/>
      <c r="I84" s="667">
        <f t="shared" si="1"/>
        <v>1956</v>
      </c>
      <c r="J84" s="1114">
        <v>540575</v>
      </c>
      <c r="K84" s="379"/>
      <c r="L84" s="379"/>
      <c r="M84" s="379"/>
      <c r="N84" s="1112"/>
      <c r="O84" s="379"/>
      <c r="P84" s="379"/>
      <c r="Q84" s="324"/>
      <c r="R84" s="379"/>
      <c r="S84" s="379"/>
      <c r="T84" s="379"/>
      <c r="U84" s="379"/>
      <c r="V84" s="1112"/>
      <c r="W84" s="379"/>
      <c r="Y84" s="324"/>
      <c r="Z84" s="1113"/>
      <c r="AA84" s="54"/>
      <c r="AB84" s="54"/>
      <c r="AC84" s="54"/>
      <c r="AD84" s="54"/>
    </row>
    <row r="85" spans="1:56" ht="15.75" outlineLevel="1">
      <c r="A85" s="666">
        <v>1957</v>
      </c>
      <c r="B85" s="379"/>
      <c r="C85" s="379"/>
      <c r="D85" s="1111"/>
      <c r="E85" s="379"/>
      <c r="F85" s="1112"/>
      <c r="G85" s="379"/>
      <c r="I85" s="667">
        <f t="shared" si="1"/>
        <v>1957</v>
      </c>
      <c r="J85" s="1114">
        <v>541637</v>
      </c>
      <c r="K85" s="379"/>
      <c r="L85" s="379"/>
      <c r="M85" s="379"/>
      <c r="N85" s="1112"/>
      <c r="O85" s="379"/>
      <c r="P85" s="379"/>
      <c r="Q85" s="324"/>
      <c r="R85" s="379"/>
      <c r="S85" s="379"/>
      <c r="T85" s="379"/>
      <c r="U85" s="379"/>
      <c r="V85" s="1112"/>
      <c r="W85" s="379"/>
      <c r="Y85" s="324"/>
      <c r="Z85" s="1113"/>
      <c r="AA85" s="54"/>
      <c r="AB85" s="54"/>
      <c r="AC85" s="54"/>
      <c r="AD85" s="54"/>
    </row>
    <row r="86" spans="1:56" ht="15.75" outlineLevel="1">
      <c r="A86" s="666">
        <v>1958</v>
      </c>
      <c r="B86" s="379"/>
      <c r="C86" s="379"/>
      <c r="D86" s="1111"/>
      <c r="E86" s="379"/>
      <c r="F86" s="1112"/>
      <c r="G86" s="379"/>
      <c r="I86" s="667">
        <f t="shared" si="1"/>
        <v>1958</v>
      </c>
      <c r="J86" s="1114">
        <v>307342</v>
      </c>
      <c r="K86" s="379"/>
      <c r="L86" s="379"/>
      <c r="M86" s="379"/>
      <c r="N86" s="1112"/>
      <c r="O86" s="379"/>
      <c r="P86" s="379"/>
      <c r="Q86" s="324"/>
      <c r="R86" s="379"/>
      <c r="S86" s="379"/>
      <c r="T86" s="379"/>
      <c r="U86" s="379"/>
      <c r="V86" s="1112"/>
      <c r="W86" s="379"/>
      <c r="Y86" s="324"/>
      <c r="Z86" s="1113"/>
      <c r="AA86" s="54"/>
      <c r="AB86" s="54"/>
      <c r="AC86" s="54"/>
      <c r="AD86" s="54"/>
    </row>
    <row r="87" spans="1:56" ht="15.75" outlineLevel="1">
      <c r="A87" s="666">
        <v>1959</v>
      </c>
      <c r="B87" s="379"/>
      <c r="C87" s="379"/>
      <c r="D87" s="1111"/>
      <c r="E87" s="379"/>
      <c r="F87" s="1112"/>
      <c r="G87" s="379"/>
      <c r="I87" s="667">
        <f t="shared" si="1"/>
        <v>1959</v>
      </c>
      <c r="J87" s="1114">
        <v>299782</v>
      </c>
      <c r="K87" s="379"/>
      <c r="L87" s="379"/>
      <c r="M87" s="379"/>
      <c r="N87" s="1112"/>
      <c r="O87" s="379"/>
      <c r="P87" s="379"/>
      <c r="Q87" s="324"/>
      <c r="R87" s="379"/>
      <c r="S87" s="379"/>
      <c r="T87" s="379"/>
      <c r="U87" s="379"/>
      <c r="V87" s="1112"/>
      <c r="W87" s="379"/>
      <c r="Y87" s="324"/>
      <c r="Z87" s="1113"/>
      <c r="AA87" s="54"/>
      <c r="AB87" s="54"/>
      <c r="AC87" s="54"/>
      <c r="AD87" s="54"/>
    </row>
    <row r="88" spans="1:56" ht="15.75" outlineLevel="1">
      <c r="A88" s="666">
        <v>1960</v>
      </c>
      <c r="B88" s="6"/>
      <c r="C88" s="6"/>
      <c r="D88" s="6">
        <v>0</v>
      </c>
      <c r="E88" s="6"/>
      <c r="F88" s="6"/>
      <c r="G88" s="6"/>
      <c r="H88" s="6"/>
      <c r="I88" s="667">
        <f>A88</f>
        <v>1960</v>
      </c>
      <c r="J88" s="1114">
        <v>593824</v>
      </c>
      <c r="K88" s="6"/>
      <c r="L88" s="6"/>
      <c r="M88" s="6"/>
      <c r="N88" s="6"/>
      <c r="O88" s="6"/>
      <c r="P88" s="6"/>
      <c r="Q88" s="667">
        <f>I88</f>
        <v>1960</v>
      </c>
      <c r="R88" s="668" t="s">
        <v>359</v>
      </c>
      <c r="S88" s="6"/>
      <c r="T88" s="668" t="s">
        <v>359</v>
      </c>
      <c r="U88" s="6"/>
      <c r="V88" s="6"/>
      <c r="W88" s="6"/>
      <c r="X88" s="6"/>
      <c r="Y88" s="6"/>
      <c r="Z88" s="6"/>
    </row>
    <row r="89" spans="1:56" ht="15.75" outlineLevel="1">
      <c r="A89" s="666">
        <v>1961</v>
      </c>
      <c r="B89" s="6"/>
      <c r="C89" s="6"/>
      <c r="D89" s="6">
        <v>0</v>
      </c>
      <c r="E89" s="6"/>
      <c r="F89" s="6"/>
      <c r="G89" s="6"/>
      <c r="H89" s="6"/>
      <c r="I89" s="667">
        <f t="shared" ref="I89:I143" si="2">A89</f>
        <v>1961</v>
      </c>
      <c r="J89" s="669">
        <v>528223</v>
      </c>
      <c r="K89" s="6"/>
      <c r="L89" s="6"/>
      <c r="M89" s="6"/>
      <c r="N89" s="669">
        <v>528223</v>
      </c>
      <c r="O89" s="6"/>
      <c r="P89" s="6"/>
      <c r="Q89" s="667">
        <f t="shared" ref="Q89:Q143" si="3">I89</f>
        <v>1961</v>
      </c>
      <c r="R89" s="669">
        <v>312646.4274872489</v>
      </c>
      <c r="S89" s="6"/>
      <c r="T89" s="669">
        <v>15247</v>
      </c>
      <c r="U89" s="6"/>
      <c r="V89" s="670">
        <f t="shared" ref="V89:V105" si="4">T89+R89</f>
        <v>327893.4274872489</v>
      </c>
      <c r="W89" s="6"/>
      <c r="X89" s="6"/>
      <c r="Y89" s="6"/>
      <c r="Z89" s="6"/>
    </row>
    <row r="90" spans="1:56" ht="15.75" outlineLevel="1">
      <c r="A90" s="666">
        <v>1962</v>
      </c>
      <c r="B90" s="6"/>
      <c r="C90" s="6"/>
      <c r="D90" s="6">
        <v>0</v>
      </c>
      <c r="E90" s="6"/>
      <c r="F90" s="6"/>
      <c r="G90" s="6"/>
      <c r="H90" s="6"/>
      <c r="I90" s="667">
        <f t="shared" si="2"/>
        <v>1962</v>
      </c>
      <c r="J90" s="669">
        <v>677626</v>
      </c>
      <c r="K90" s="6"/>
      <c r="L90" s="6"/>
      <c r="M90" s="6"/>
      <c r="N90" s="669">
        <v>677626</v>
      </c>
      <c r="O90" s="6"/>
      <c r="P90" s="6"/>
      <c r="Q90" s="667">
        <f t="shared" si="3"/>
        <v>1962</v>
      </c>
      <c r="R90" s="669">
        <v>316333.18072477408</v>
      </c>
      <c r="S90" s="6"/>
      <c r="T90" s="669">
        <v>68933</v>
      </c>
      <c r="U90" s="6"/>
      <c r="V90" s="670">
        <f t="shared" si="4"/>
        <v>385266.18072477408</v>
      </c>
      <c r="W90" s="6"/>
      <c r="X90" s="6"/>
      <c r="Y90" s="6"/>
      <c r="Z90" s="6"/>
    </row>
    <row r="91" spans="1:56" ht="15.75" outlineLevel="1">
      <c r="A91" s="666">
        <v>1963</v>
      </c>
      <c r="B91" s="6"/>
      <c r="C91" s="6"/>
      <c r="D91" s="6">
        <v>0</v>
      </c>
      <c r="E91" s="6"/>
      <c r="F91" s="6"/>
      <c r="G91" s="6"/>
      <c r="H91" s="6"/>
      <c r="I91" s="667">
        <f t="shared" si="2"/>
        <v>1963</v>
      </c>
      <c r="J91" s="669">
        <v>375029</v>
      </c>
      <c r="K91" s="6"/>
      <c r="L91" s="6"/>
      <c r="M91" s="6"/>
      <c r="N91" s="669">
        <v>375029</v>
      </c>
      <c r="O91" s="6"/>
      <c r="P91" s="6"/>
      <c r="Q91" s="667">
        <f t="shared" si="3"/>
        <v>1963</v>
      </c>
      <c r="R91" s="669">
        <v>183347.35305366298</v>
      </c>
      <c r="S91" s="6"/>
      <c r="T91" s="669">
        <v>74493</v>
      </c>
      <c r="U91" s="6"/>
      <c r="V91" s="670">
        <f t="shared" si="4"/>
        <v>257840.35305366298</v>
      </c>
      <c r="W91" s="6"/>
      <c r="X91" s="6"/>
      <c r="Y91" s="6"/>
      <c r="Z91" s="6"/>
    </row>
    <row r="92" spans="1:56" ht="15.75" outlineLevel="1">
      <c r="A92" s="666">
        <v>1964</v>
      </c>
      <c r="B92" s="6"/>
      <c r="C92" s="6"/>
      <c r="D92" s="6">
        <v>0</v>
      </c>
      <c r="E92" s="6"/>
      <c r="F92" s="6"/>
      <c r="G92" s="6"/>
      <c r="H92" s="6"/>
      <c r="I92" s="667">
        <f t="shared" si="2"/>
        <v>1964</v>
      </c>
      <c r="J92" s="669">
        <v>699548</v>
      </c>
      <c r="K92" s="6"/>
      <c r="L92" s="6"/>
      <c r="M92" s="6"/>
      <c r="N92" s="669">
        <v>699548</v>
      </c>
      <c r="O92" s="6"/>
      <c r="P92" s="6"/>
      <c r="Q92" s="667">
        <f t="shared" si="3"/>
        <v>1964</v>
      </c>
      <c r="R92" s="669">
        <v>162650.19926972012</v>
      </c>
      <c r="S92" s="6"/>
      <c r="T92" s="669">
        <v>47441</v>
      </c>
      <c r="U92" s="6"/>
      <c r="V92" s="670">
        <f t="shared" si="4"/>
        <v>210091.19926972012</v>
      </c>
      <c r="W92" s="6"/>
      <c r="X92" s="6"/>
      <c r="Y92" s="6"/>
      <c r="Z92" s="6"/>
    </row>
    <row r="93" spans="1:56" ht="15.75">
      <c r="A93" s="666">
        <v>1965</v>
      </c>
      <c r="B93" s="1121">
        <f>F93</f>
        <v>1248906</v>
      </c>
      <c r="C93" s="6"/>
      <c r="D93" s="6">
        <v>0</v>
      </c>
      <c r="E93" s="6"/>
      <c r="F93" s="1120">
        <v>1248906</v>
      </c>
      <c r="G93" s="6"/>
      <c r="H93" s="6"/>
      <c r="I93" s="667">
        <f t="shared" si="2"/>
        <v>1965</v>
      </c>
      <c r="J93" s="669">
        <v>816303</v>
      </c>
      <c r="K93" s="6"/>
      <c r="L93" s="6"/>
      <c r="M93" s="6"/>
      <c r="N93" s="669">
        <v>816303</v>
      </c>
      <c r="O93" s="6"/>
      <c r="P93" s="6"/>
      <c r="Q93" s="667">
        <f t="shared" si="3"/>
        <v>1965</v>
      </c>
      <c r="R93" s="669">
        <v>244383.22002911044</v>
      </c>
      <c r="S93" s="6"/>
      <c r="T93" s="669">
        <v>85905</v>
      </c>
      <c r="U93" s="6"/>
      <c r="V93" s="670">
        <f t="shared" si="4"/>
        <v>330288.22002911044</v>
      </c>
      <c r="W93" s="6"/>
      <c r="X93" s="6"/>
      <c r="Y93" s="6"/>
      <c r="Z93" s="6"/>
      <c r="AY93">
        <f>A93</f>
        <v>1965</v>
      </c>
      <c r="AZ93" s="414">
        <f>B93</f>
        <v>1248906</v>
      </c>
      <c r="BA93">
        <f>D93</f>
        <v>0</v>
      </c>
      <c r="BB93" s="1152">
        <f>SUM(AZ93:BA93)</f>
        <v>1248906</v>
      </c>
      <c r="BC93" s="1151">
        <f>RANK(BB93,$BB$93:$BB$143)</f>
        <v>38</v>
      </c>
      <c r="BD93" s="1151">
        <f>RANK(AZ93,$AZ$93:$AZ$143)</f>
        <v>37</v>
      </c>
    </row>
    <row r="94" spans="1:56" ht="15.75">
      <c r="A94" s="666">
        <v>1966</v>
      </c>
      <c r="B94" s="1121">
        <f t="shared" ref="B94:B104" si="5">F94</f>
        <v>1426968</v>
      </c>
      <c r="C94" s="6"/>
      <c r="D94" s="6">
        <v>0</v>
      </c>
      <c r="E94" s="6"/>
      <c r="F94" s="1120">
        <v>1426968</v>
      </c>
      <c r="G94" s="6"/>
      <c r="H94" s="6"/>
      <c r="I94" s="667">
        <f t="shared" si="2"/>
        <v>1966</v>
      </c>
      <c r="J94" s="669">
        <v>1007342</v>
      </c>
      <c r="K94" s="6"/>
      <c r="L94" s="6"/>
      <c r="M94" s="6"/>
      <c r="N94" s="669">
        <v>1007342</v>
      </c>
      <c r="O94" s="6"/>
      <c r="P94" s="6"/>
      <c r="Q94" s="667">
        <f t="shared" si="3"/>
        <v>1966</v>
      </c>
      <c r="R94" s="669">
        <v>315573.10456808144</v>
      </c>
      <c r="S94" s="6"/>
      <c r="T94" s="669">
        <v>41043</v>
      </c>
      <c r="U94" s="6"/>
      <c r="V94" s="670">
        <f t="shared" si="4"/>
        <v>356616.10456808144</v>
      </c>
      <c r="W94" s="6"/>
      <c r="X94" s="6"/>
      <c r="Y94" s="6"/>
      <c r="Z94" s="6"/>
      <c r="AY94">
        <f t="shared" ref="AY94:AY143" si="6">A94</f>
        <v>1966</v>
      </c>
      <c r="AZ94" s="414">
        <f t="shared" ref="AZ94:AZ143" si="7">B94</f>
        <v>1426968</v>
      </c>
      <c r="BA94">
        <f t="shared" ref="BA94:BA143" si="8">D94</f>
        <v>0</v>
      </c>
      <c r="BB94" s="1152">
        <f t="shared" ref="BB94:BB143" si="9">SUM(AZ94:BA94)</f>
        <v>1426968</v>
      </c>
      <c r="BC94" s="1151">
        <f t="shared" ref="BC94:BC143" si="10">RANK(BB94,$BB$93:$BB$143)</f>
        <v>33</v>
      </c>
      <c r="BD94" s="1151">
        <f t="shared" ref="BD94:BD143" si="11">RANK(AZ94,$AZ$93:$AZ$143)</f>
        <v>31</v>
      </c>
    </row>
    <row r="95" spans="1:56" ht="15.75">
      <c r="A95" s="666">
        <v>1967</v>
      </c>
      <c r="B95" s="1121">
        <f t="shared" si="5"/>
        <v>704978</v>
      </c>
      <c r="C95" s="6"/>
      <c r="D95" s="6">
        <v>0</v>
      </c>
      <c r="E95" s="6"/>
      <c r="F95" s="1120">
        <v>704978</v>
      </c>
      <c r="G95" s="6"/>
      <c r="H95" s="6"/>
      <c r="I95" s="667">
        <f t="shared" si="2"/>
        <v>1967</v>
      </c>
      <c r="J95" s="669">
        <v>516271</v>
      </c>
      <c r="K95" s="6"/>
      <c r="L95" s="6"/>
      <c r="M95" s="6"/>
      <c r="N95" s="669">
        <v>516271</v>
      </c>
      <c r="O95" s="6"/>
      <c r="P95" s="6"/>
      <c r="Q95" s="667">
        <f t="shared" si="3"/>
        <v>1967</v>
      </c>
      <c r="R95" s="669">
        <v>132678.20574374442</v>
      </c>
      <c r="S95" s="6"/>
      <c r="T95" s="669">
        <v>18605</v>
      </c>
      <c r="U95" s="6"/>
      <c r="V95" s="670">
        <f t="shared" si="4"/>
        <v>151283.20574374442</v>
      </c>
      <c r="W95" s="6"/>
      <c r="X95" s="6"/>
      <c r="Y95" s="6"/>
      <c r="Z95" s="6"/>
      <c r="AY95">
        <f t="shared" si="6"/>
        <v>1967</v>
      </c>
      <c r="AZ95" s="414">
        <f t="shared" si="7"/>
        <v>704978</v>
      </c>
      <c r="BA95">
        <f t="shared" si="8"/>
        <v>0</v>
      </c>
      <c r="BB95" s="1152">
        <f t="shared" si="9"/>
        <v>704978</v>
      </c>
      <c r="BC95" s="1151">
        <f t="shared" si="10"/>
        <v>47</v>
      </c>
      <c r="BD95" s="1151">
        <f t="shared" si="11"/>
        <v>47</v>
      </c>
    </row>
    <row r="96" spans="1:56" ht="15.75">
      <c r="A96" s="666">
        <v>1968</v>
      </c>
      <c r="B96" s="1121">
        <f t="shared" si="5"/>
        <v>848112</v>
      </c>
      <c r="C96" s="6"/>
      <c r="D96" s="6">
        <v>0</v>
      </c>
      <c r="E96" s="6"/>
      <c r="F96" s="1120">
        <v>848112</v>
      </c>
      <c r="G96" s="6"/>
      <c r="H96" s="6"/>
      <c r="I96" s="667">
        <f t="shared" si="2"/>
        <v>1968</v>
      </c>
      <c r="J96" s="669">
        <v>577437</v>
      </c>
      <c r="K96" s="6"/>
      <c r="L96" s="6"/>
      <c r="M96" s="6"/>
      <c r="N96" s="669">
        <v>577437</v>
      </c>
      <c r="O96" s="6"/>
      <c r="P96" s="6"/>
      <c r="Q96" s="667">
        <f t="shared" si="3"/>
        <v>1968</v>
      </c>
      <c r="R96" s="669">
        <v>211981.76831870052</v>
      </c>
      <c r="S96" s="6"/>
      <c r="T96" s="669">
        <v>18686</v>
      </c>
      <c r="U96" s="6"/>
      <c r="V96" s="670">
        <f t="shared" si="4"/>
        <v>230667.76831870052</v>
      </c>
      <c r="W96" s="6"/>
      <c r="X96" s="6"/>
      <c r="Y96" s="6"/>
      <c r="Z96" s="6"/>
      <c r="AY96">
        <f t="shared" si="6"/>
        <v>1968</v>
      </c>
      <c r="AZ96" s="414">
        <f t="shared" si="7"/>
        <v>848112</v>
      </c>
      <c r="BA96">
        <f t="shared" si="8"/>
        <v>0</v>
      </c>
      <c r="BB96" s="1152">
        <f t="shared" si="9"/>
        <v>848112</v>
      </c>
      <c r="BC96" s="1151">
        <f t="shared" si="10"/>
        <v>44</v>
      </c>
      <c r="BD96" s="1151">
        <f t="shared" si="11"/>
        <v>44</v>
      </c>
    </row>
    <row r="97" spans="1:57" ht="15.75">
      <c r="A97" s="666">
        <v>1969</v>
      </c>
      <c r="B97" s="1121">
        <f t="shared" si="5"/>
        <v>1278538</v>
      </c>
      <c r="C97" s="6"/>
      <c r="D97" s="6">
        <v>0</v>
      </c>
      <c r="E97" s="6"/>
      <c r="F97" s="1120">
        <v>1278538</v>
      </c>
      <c r="G97" s="6"/>
      <c r="H97" s="6"/>
      <c r="I97" s="667">
        <f t="shared" si="2"/>
        <v>1969</v>
      </c>
      <c r="J97" s="670">
        <f>N97-L97</f>
        <v>696355</v>
      </c>
      <c r="K97" s="6"/>
      <c r="L97" s="6"/>
      <c r="M97" s="6"/>
      <c r="N97" s="669">
        <v>696355</v>
      </c>
      <c r="O97" s="6"/>
      <c r="P97" s="6"/>
      <c r="Q97" s="667">
        <f t="shared" si="3"/>
        <v>1969</v>
      </c>
      <c r="R97" s="669">
        <v>465622.37255732983</v>
      </c>
      <c r="S97" s="6"/>
      <c r="T97" s="669">
        <v>41573</v>
      </c>
      <c r="U97" s="6"/>
      <c r="V97" s="670">
        <f t="shared" si="4"/>
        <v>507195.37255732983</v>
      </c>
      <c r="W97" s="6"/>
      <c r="X97" s="6"/>
      <c r="Y97" s="6"/>
      <c r="Z97" s="6"/>
      <c r="AA97" s="774">
        <f>J97/B97</f>
        <v>0.54464943552714118</v>
      </c>
      <c r="AB97" s="950"/>
      <c r="AC97" s="774">
        <f>(B97-V97)/B97</f>
        <v>0.60330050999084128</v>
      </c>
      <c r="AY97">
        <f t="shared" si="6"/>
        <v>1969</v>
      </c>
      <c r="AZ97" s="414">
        <f t="shared" si="7"/>
        <v>1278538</v>
      </c>
      <c r="BA97">
        <f t="shared" si="8"/>
        <v>0</v>
      </c>
      <c r="BB97" s="1152">
        <f t="shared" si="9"/>
        <v>1278538</v>
      </c>
      <c r="BC97" s="1151">
        <f t="shared" si="10"/>
        <v>36</v>
      </c>
      <c r="BD97" s="1151">
        <f t="shared" si="11"/>
        <v>34</v>
      </c>
    </row>
    <row r="98" spans="1:57" ht="15.75">
      <c r="A98" s="666">
        <v>1970</v>
      </c>
      <c r="B98" s="1121">
        <f t="shared" si="5"/>
        <v>1491682</v>
      </c>
      <c r="C98" s="6"/>
      <c r="D98" s="6">
        <v>0</v>
      </c>
      <c r="E98" s="6"/>
      <c r="F98" s="1120">
        <v>1491682</v>
      </c>
      <c r="G98" s="6"/>
      <c r="H98" s="6"/>
      <c r="I98" s="667">
        <f t="shared" si="2"/>
        <v>1970</v>
      </c>
      <c r="J98" s="670">
        <f t="shared" ref="J98:J135" si="12">N98-L98</f>
        <v>1114847</v>
      </c>
      <c r="K98" s="6"/>
      <c r="L98" s="6"/>
      <c r="M98" s="6"/>
      <c r="N98" s="669">
        <v>1114847</v>
      </c>
      <c r="O98" s="6"/>
      <c r="P98" s="6"/>
      <c r="Q98" s="667">
        <f t="shared" si="3"/>
        <v>1970</v>
      </c>
      <c r="R98" s="669">
        <v>256305.4894659736</v>
      </c>
      <c r="S98" s="6"/>
      <c r="T98" s="669">
        <v>87603</v>
      </c>
      <c r="U98" s="6"/>
      <c r="V98" s="670">
        <f t="shared" si="4"/>
        <v>343908.48946597357</v>
      </c>
      <c r="W98" s="6"/>
      <c r="X98" s="6"/>
      <c r="Y98" s="6"/>
      <c r="Z98" s="6"/>
      <c r="AA98" s="774">
        <f t="shared" ref="AA98:AA141" si="13">J98/B98</f>
        <v>0.74737578116515446</v>
      </c>
      <c r="AB98" s="950"/>
      <c r="AC98" s="774">
        <f t="shared" ref="AC98:AC141" si="14">(B98-V98)/B98</f>
        <v>0.76944919261211597</v>
      </c>
      <c r="AE98" s="975"/>
      <c r="AF98" s="414"/>
      <c r="AY98">
        <f t="shared" si="6"/>
        <v>1970</v>
      </c>
      <c r="AZ98" s="414">
        <f t="shared" si="7"/>
        <v>1491682</v>
      </c>
      <c r="BA98">
        <f t="shared" si="8"/>
        <v>0</v>
      </c>
      <c r="BB98" s="1152">
        <f t="shared" si="9"/>
        <v>1491682</v>
      </c>
      <c r="BC98" s="1151">
        <f t="shared" si="10"/>
        <v>31</v>
      </c>
      <c r="BD98" s="1151">
        <f t="shared" si="11"/>
        <v>29</v>
      </c>
    </row>
    <row r="99" spans="1:57" ht="15.75">
      <c r="A99" s="666">
        <v>1971</v>
      </c>
      <c r="B99" s="1121">
        <f t="shared" si="5"/>
        <v>1250648</v>
      </c>
      <c r="C99" s="6"/>
      <c r="D99" s="6">
        <v>0</v>
      </c>
      <c r="E99" s="6"/>
      <c r="F99" s="1120">
        <v>1250648</v>
      </c>
      <c r="G99" s="6"/>
      <c r="H99" s="6"/>
      <c r="I99" s="667">
        <f t="shared" si="2"/>
        <v>1971</v>
      </c>
      <c r="J99" s="670">
        <f t="shared" si="12"/>
        <v>616801</v>
      </c>
      <c r="K99" s="6"/>
      <c r="L99" s="6"/>
      <c r="M99" s="6"/>
      <c r="N99" s="669">
        <v>616801</v>
      </c>
      <c r="O99" s="6"/>
      <c r="P99" s="6"/>
      <c r="Q99" s="667">
        <f t="shared" si="3"/>
        <v>1971</v>
      </c>
      <c r="R99" s="669">
        <v>438228.09872581216</v>
      </c>
      <c r="S99" s="6"/>
      <c r="T99" s="669">
        <v>53647</v>
      </c>
      <c r="U99" s="6"/>
      <c r="V99" s="670">
        <f t="shared" si="4"/>
        <v>491875.09872581216</v>
      </c>
      <c r="W99" s="6"/>
      <c r="X99" s="6"/>
      <c r="Y99" s="6"/>
      <c r="Z99" s="6"/>
      <c r="AA99" s="774">
        <f t="shared" si="13"/>
        <v>0.49318513282714244</v>
      </c>
      <c r="AB99" s="950"/>
      <c r="AC99" s="774">
        <f t="shared" si="14"/>
        <v>0.6067038057664409</v>
      </c>
      <c r="AE99" s="975"/>
      <c r="AF99" s="414"/>
      <c r="AY99">
        <f t="shared" si="6"/>
        <v>1971</v>
      </c>
      <c r="AZ99" s="414">
        <f t="shared" si="7"/>
        <v>1250648</v>
      </c>
      <c r="BA99">
        <f t="shared" si="8"/>
        <v>0</v>
      </c>
      <c r="BB99" s="1152">
        <f t="shared" si="9"/>
        <v>1250648</v>
      </c>
      <c r="BC99" s="1151">
        <f t="shared" si="10"/>
        <v>37</v>
      </c>
      <c r="BD99" s="1151">
        <f t="shared" si="11"/>
        <v>36</v>
      </c>
    </row>
    <row r="100" spans="1:57" ht="15.75">
      <c r="A100" s="666">
        <v>1972</v>
      </c>
      <c r="B100" s="1121">
        <f t="shared" si="5"/>
        <v>1168448</v>
      </c>
      <c r="C100" s="6"/>
      <c r="D100" s="6">
        <v>0</v>
      </c>
      <c r="E100" s="6"/>
      <c r="F100" s="1120">
        <v>1168448</v>
      </c>
      <c r="G100" s="6"/>
      <c r="H100" s="6"/>
      <c r="I100" s="667">
        <f t="shared" si="2"/>
        <v>1972</v>
      </c>
      <c r="J100" s="670">
        <f t="shared" si="12"/>
        <v>727144</v>
      </c>
      <c r="K100" s="6"/>
      <c r="L100" s="6"/>
      <c r="M100" s="6"/>
      <c r="N100" s="669">
        <v>727144</v>
      </c>
      <c r="O100" s="6"/>
      <c r="P100" s="6"/>
      <c r="Q100" s="667">
        <f t="shared" si="3"/>
        <v>1972</v>
      </c>
      <c r="R100" s="669">
        <v>250464.74565424217</v>
      </c>
      <c r="S100" s="6"/>
      <c r="T100" s="669">
        <v>78942</v>
      </c>
      <c r="U100" s="6"/>
      <c r="V100" s="670">
        <f t="shared" si="4"/>
        <v>329406.74565424217</v>
      </c>
      <c r="W100" s="6"/>
      <c r="X100" s="6"/>
      <c r="Y100" s="6"/>
      <c r="Z100" s="6"/>
      <c r="AA100" s="774">
        <f t="shared" si="13"/>
        <v>0.62231609793503861</v>
      </c>
      <c r="AB100" s="950"/>
      <c r="AC100" s="774">
        <f t="shared" si="14"/>
        <v>0.71808180967039859</v>
      </c>
      <c r="AE100" s="975"/>
      <c r="AF100" s="414"/>
      <c r="AY100">
        <f t="shared" si="6"/>
        <v>1972</v>
      </c>
      <c r="AZ100" s="414">
        <f t="shared" si="7"/>
        <v>1168448</v>
      </c>
      <c r="BA100">
        <f t="shared" si="8"/>
        <v>0</v>
      </c>
      <c r="BB100" s="1152">
        <f t="shared" si="9"/>
        <v>1168448</v>
      </c>
      <c r="BC100" s="1151">
        <f t="shared" si="10"/>
        <v>40</v>
      </c>
      <c r="BD100" s="1151">
        <f t="shared" si="11"/>
        <v>39</v>
      </c>
    </row>
    <row r="101" spans="1:57" ht="15.75">
      <c r="A101" s="666">
        <v>1973</v>
      </c>
      <c r="B101" s="1121">
        <f t="shared" si="5"/>
        <v>794980</v>
      </c>
      <c r="C101" s="6"/>
      <c r="D101" s="6">
        <v>0</v>
      </c>
      <c r="E101" s="6"/>
      <c r="F101" s="1120">
        <v>794980</v>
      </c>
      <c r="G101" s="6"/>
      <c r="H101" s="6"/>
      <c r="I101" s="667">
        <f t="shared" si="2"/>
        <v>1973</v>
      </c>
      <c r="J101" s="670">
        <f t="shared" si="12"/>
        <v>332816</v>
      </c>
      <c r="K101" s="6"/>
      <c r="L101" s="6"/>
      <c r="M101" s="6"/>
      <c r="N101" s="669">
        <v>332816</v>
      </c>
      <c r="O101" s="6"/>
      <c r="P101" s="6"/>
      <c r="Q101" s="667">
        <f t="shared" si="3"/>
        <v>1973</v>
      </c>
      <c r="R101" s="669">
        <v>350304.89386258059</v>
      </c>
      <c r="S101" s="6"/>
      <c r="T101" s="669">
        <v>40970</v>
      </c>
      <c r="U101" s="6"/>
      <c r="V101" s="670">
        <f t="shared" si="4"/>
        <v>391274.89386258059</v>
      </c>
      <c r="W101" s="6"/>
      <c r="X101" s="6"/>
      <c r="Y101" s="6"/>
      <c r="Z101" s="6"/>
      <c r="AA101" s="774">
        <f t="shared" si="13"/>
        <v>0.41864700998767262</v>
      </c>
      <c r="AB101" s="950"/>
      <c r="AC101" s="774">
        <f t="shared" si="14"/>
        <v>0.50781794024682303</v>
      </c>
      <c r="AE101" s="975"/>
      <c r="AF101" s="414"/>
      <c r="AY101">
        <f t="shared" si="6"/>
        <v>1973</v>
      </c>
      <c r="AZ101" s="414">
        <f t="shared" si="7"/>
        <v>794980</v>
      </c>
      <c r="BA101">
        <f t="shared" si="8"/>
        <v>0</v>
      </c>
      <c r="BB101" s="1152">
        <f t="shared" si="9"/>
        <v>794980</v>
      </c>
      <c r="BC101" s="1151">
        <f t="shared" si="10"/>
        <v>46</v>
      </c>
      <c r="BD101" s="1151">
        <f t="shared" si="11"/>
        <v>46</v>
      </c>
    </row>
    <row r="102" spans="1:57" ht="15.75">
      <c r="A102" s="666">
        <v>1974</v>
      </c>
      <c r="B102" s="1121">
        <f t="shared" si="5"/>
        <v>843680</v>
      </c>
      <c r="C102" s="6"/>
      <c r="D102" s="6">
        <v>0</v>
      </c>
      <c r="E102" s="6"/>
      <c r="F102" s="1120">
        <v>843680</v>
      </c>
      <c r="G102" s="6"/>
      <c r="H102" s="6"/>
      <c r="I102" s="667">
        <f t="shared" si="2"/>
        <v>1974</v>
      </c>
      <c r="J102" s="670">
        <f t="shared" si="12"/>
        <v>607766</v>
      </c>
      <c r="K102" s="6"/>
      <c r="L102" s="6"/>
      <c r="M102" s="6"/>
      <c r="N102" s="669">
        <v>607766</v>
      </c>
      <c r="O102" s="6"/>
      <c r="P102" s="6"/>
      <c r="Q102" s="667">
        <f t="shared" si="3"/>
        <v>1974</v>
      </c>
      <c r="R102" s="669">
        <v>153848.48285271373</v>
      </c>
      <c r="S102" s="6"/>
      <c r="T102" s="669">
        <v>25651</v>
      </c>
      <c r="U102" s="6"/>
      <c r="V102" s="670">
        <f t="shared" si="4"/>
        <v>179499.48285271373</v>
      </c>
      <c r="W102" s="6"/>
      <c r="X102" s="6"/>
      <c r="Y102" s="6"/>
      <c r="Z102" s="6"/>
      <c r="AA102" s="774">
        <f t="shared" si="13"/>
        <v>0.72037502370567041</v>
      </c>
      <c r="AB102" s="950"/>
      <c r="AC102" s="774">
        <f t="shared" si="14"/>
        <v>0.78724222115883546</v>
      </c>
      <c r="AE102" s="975"/>
      <c r="AF102" s="414"/>
      <c r="AY102">
        <f t="shared" si="6"/>
        <v>1974</v>
      </c>
      <c r="AZ102" s="414">
        <f t="shared" si="7"/>
        <v>843680</v>
      </c>
      <c r="BA102">
        <f t="shared" si="8"/>
        <v>0</v>
      </c>
      <c r="BB102" s="1152">
        <f t="shared" si="9"/>
        <v>843680</v>
      </c>
      <c r="BC102" s="1151">
        <f t="shared" si="10"/>
        <v>45</v>
      </c>
      <c r="BD102" s="1151">
        <f t="shared" si="11"/>
        <v>45</v>
      </c>
    </row>
    <row r="103" spans="1:57" ht="15.75">
      <c r="A103" s="666">
        <v>1975</v>
      </c>
      <c r="B103" s="1121">
        <f t="shared" si="5"/>
        <v>523359</v>
      </c>
      <c r="C103" s="6"/>
      <c r="D103" s="6">
        <v>0</v>
      </c>
      <c r="E103" s="6"/>
      <c r="F103" s="1120">
        <v>523359</v>
      </c>
      <c r="G103" s="6"/>
      <c r="H103" s="6"/>
      <c r="I103" s="667">
        <f t="shared" si="2"/>
        <v>1975</v>
      </c>
      <c r="J103" s="670">
        <f t="shared" si="12"/>
        <v>335384</v>
      </c>
      <c r="K103" s="6"/>
      <c r="L103" s="6"/>
      <c r="M103" s="6"/>
      <c r="N103" s="669">
        <v>335384</v>
      </c>
      <c r="O103" s="6"/>
      <c r="P103" s="6"/>
      <c r="Q103" s="667">
        <f t="shared" si="3"/>
        <v>1975</v>
      </c>
      <c r="R103" s="669">
        <v>90766.433179814718</v>
      </c>
      <c r="S103" s="6"/>
      <c r="T103" s="669">
        <v>46475</v>
      </c>
      <c r="U103" s="6"/>
      <c r="V103" s="670">
        <f t="shared" si="4"/>
        <v>137241.43317981472</v>
      </c>
      <c r="W103" s="6"/>
      <c r="X103" s="6"/>
      <c r="Y103" s="669"/>
      <c r="Z103" s="6"/>
      <c r="AA103" s="774">
        <f t="shared" si="13"/>
        <v>0.64082971726864346</v>
      </c>
      <c r="AB103" s="950"/>
      <c r="AC103" s="774">
        <f t="shared" si="14"/>
        <v>0.73776808427902318</v>
      </c>
      <c r="AE103" s="975"/>
      <c r="AF103" s="414"/>
      <c r="AY103">
        <f t="shared" si="6"/>
        <v>1975</v>
      </c>
      <c r="AZ103" s="414">
        <f t="shared" si="7"/>
        <v>523359</v>
      </c>
      <c r="BA103">
        <f t="shared" si="8"/>
        <v>0</v>
      </c>
      <c r="BB103" s="1152">
        <f t="shared" si="9"/>
        <v>523359</v>
      </c>
      <c r="BC103" s="1151">
        <f t="shared" si="10"/>
        <v>50</v>
      </c>
      <c r="BD103" s="1151">
        <f t="shared" si="11"/>
        <v>50</v>
      </c>
    </row>
    <row r="104" spans="1:57" ht="15.75">
      <c r="A104" s="666">
        <v>1976</v>
      </c>
      <c r="B104" s="1121">
        <f t="shared" si="5"/>
        <v>1137425</v>
      </c>
      <c r="C104" s="6"/>
      <c r="D104" s="6">
        <v>0</v>
      </c>
      <c r="E104" s="6"/>
      <c r="F104" s="1120">
        <v>1137425</v>
      </c>
      <c r="G104" s="6"/>
      <c r="H104" s="6"/>
      <c r="I104" s="667">
        <f t="shared" si="2"/>
        <v>1976</v>
      </c>
      <c r="J104" s="670">
        <f t="shared" si="12"/>
        <v>865195</v>
      </c>
      <c r="K104" s="6"/>
      <c r="L104" s="6"/>
      <c r="M104" s="6"/>
      <c r="N104" s="669">
        <v>865195</v>
      </c>
      <c r="O104" s="6"/>
      <c r="P104" s="6"/>
      <c r="Q104" s="667">
        <f t="shared" si="3"/>
        <v>1976</v>
      </c>
      <c r="R104" s="669">
        <v>139496.46908689401</v>
      </c>
      <c r="S104" s="6"/>
      <c r="T104" s="669">
        <v>55450</v>
      </c>
      <c r="U104" s="6"/>
      <c r="V104" s="670">
        <f t="shared" si="4"/>
        <v>194946.46908689401</v>
      </c>
      <c r="W104" s="6"/>
      <c r="X104" s="6"/>
      <c r="Y104" s="669"/>
      <c r="Z104" s="6"/>
      <c r="AA104" s="774">
        <f t="shared" si="13"/>
        <v>0.76066114249291161</v>
      </c>
      <c r="AB104" s="950"/>
      <c r="AC104" s="774">
        <f t="shared" si="14"/>
        <v>0.82860718808985734</v>
      </c>
      <c r="AE104" s="975"/>
      <c r="AF104" s="414"/>
      <c r="AY104">
        <f t="shared" si="6"/>
        <v>1976</v>
      </c>
      <c r="AZ104" s="414">
        <f t="shared" si="7"/>
        <v>1137425</v>
      </c>
      <c r="BA104">
        <f t="shared" si="8"/>
        <v>0</v>
      </c>
      <c r="BB104" s="1152">
        <f t="shared" si="9"/>
        <v>1137425</v>
      </c>
      <c r="BC104" s="1151">
        <f t="shared" si="10"/>
        <v>42</v>
      </c>
      <c r="BD104" s="1151">
        <f t="shared" si="11"/>
        <v>40</v>
      </c>
    </row>
    <row r="105" spans="1:57" ht="16.5" thickBot="1">
      <c r="A105" s="666">
        <v>1977</v>
      </c>
      <c r="B105" s="1121">
        <f>F105-D105</f>
        <v>1001564.2775033638</v>
      </c>
      <c r="C105" s="6"/>
      <c r="D105" s="975">
        <v>317.72249663625212</v>
      </c>
      <c r="E105" s="6"/>
      <c r="F105" s="1120">
        <v>1001882</v>
      </c>
      <c r="G105" s="6"/>
      <c r="H105" s="6"/>
      <c r="I105" s="667">
        <f t="shared" si="2"/>
        <v>1977</v>
      </c>
      <c r="J105" s="670">
        <f t="shared" si="12"/>
        <v>602554.10277999996</v>
      </c>
      <c r="K105" s="6"/>
      <c r="L105" s="669">
        <v>182.89722</v>
      </c>
      <c r="M105" s="6"/>
      <c r="N105" s="669">
        <v>602737</v>
      </c>
      <c r="O105" s="6"/>
      <c r="P105" s="6"/>
      <c r="Q105" s="667">
        <f t="shared" si="3"/>
        <v>1977</v>
      </c>
      <c r="R105" s="669">
        <v>246808.4249518197</v>
      </c>
      <c r="S105" s="6"/>
      <c r="T105" s="669">
        <v>55144</v>
      </c>
      <c r="U105" s="6"/>
      <c r="V105" s="670">
        <f t="shared" si="4"/>
        <v>301952.4249518197</v>
      </c>
      <c r="W105" s="6"/>
      <c r="X105" s="6"/>
      <c r="Y105" s="669"/>
      <c r="Z105" s="6"/>
      <c r="AA105" s="774">
        <f t="shared" si="13"/>
        <v>0.60161301307791126</v>
      </c>
      <c r="AB105" s="774">
        <f t="shared" ref="AB105:AB142" si="15">L105/D105</f>
        <v>0.57565083346739454</v>
      </c>
      <c r="AC105" s="774">
        <f t="shared" si="14"/>
        <v>0.69851917472086</v>
      </c>
      <c r="AE105" s="975"/>
      <c r="AF105" s="414"/>
      <c r="AY105">
        <f t="shared" si="6"/>
        <v>1977</v>
      </c>
      <c r="AZ105" s="414">
        <f t="shared" si="7"/>
        <v>1001564.2775033638</v>
      </c>
      <c r="BA105" s="1153">
        <f t="shared" si="8"/>
        <v>317.72249663625212</v>
      </c>
      <c r="BB105" s="1152">
        <f t="shared" si="9"/>
        <v>1001882</v>
      </c>
      <c r="BC105" s="1151">
        <f t="shared" si="10"/>
        <v>43</v>
      </c>
      <c r="BD105" s="1151">
        <f t="shared" si="11"/>
        <v>43</v>
      </c>
      <c r="BE105" s="1151">
        <f>RANK(BA105,$BA$105:$BA$143)</f>
        <v>39</v>
      </c>
    </row>
    <row r="106" spans="1:57" ht="15.75">
      <c r="A106" s="666">
        <v>1978</v>
      </c>
      <c r="B106" s="1121">
        <f t="shared" ref="B106:B141" si="16">F106-D106</f>
        <v>510878.70547443983</v>
      </c>
      <c r="C106" s="6"/>
      <c r="D106" s="975">
        <v>2094</v>
      </c>
      <c r="E106" s="669"/>
      <c r="F106" s="1120">
        <v>512972.70547443983</v>
      </c>
      <c r="G106" s="6"/>
      <c r="H106" s="6"/>
      <c r="I106" s="667">
        <f t="shared" si="2"/>
        <v>1978</v>
      </c>
      <c r="J106" s="670">
        <f t="shared" si="12"/>
        <v>249152</v>
      </c>
      <c r="K106" s="6"/>
      <c r="L106" s="669">
        <v>720</v>
      </c>
      <c r="M106" s="6"/>
      <c r="N106" s="669">
        <v>249872</v>
      </c>
      <c r="O106" s="6"/>
      <c r="P106" s="6"/>
      <c r="Q106" s="667">
        <f t="shared" si="3"/>
        <v>1978</v>
      </c>
      <c r="R106" s="945">
        <v>56660.620640057692</v>
      </c>
      <c r="S106" s="6"/>
      <c r="T106" s="669">
        <v>83469</v>
      </c>
      <c r="U106" s="6"/>
      <c r="V106" s="670">
        <f>T106+R106</f>
        <v>140129.62064005769</v>
      </c>
      <c r="W106" s="6"/>
      <c r="X106" s="6"/>
      <c r="Y106" s="669">
        <v>97074</v>
      </c>
      <c r="Z106" s="6"/>
      <c r="AA106" s="774">
        <f t="shared" si="13"/>
        <v>0.48769306164096032</v>
      </c>
      <c r="AB106" s="774">
        <f t="shared" si="15"/>
        <v>0.34383954154727792</v>
      </c>
      <c r="AC106" s="774">
        <f t="shared" si="14"/>
        <v>0.72570862880275488</v>
      </c>
      <c r="AE106" s="975"/>
      <c r="AF106" s="414"/>
      <c r="AY106">
        <f t="shared" si="6"/>
        <v>1978</v>
      </c>
      <c r="AZ106" s="414">
        <f t="shared" si="7"/>
        <v>510878.70547443983</v>
      </c>
      <c r="BA106">
        <f t="shared" si="8"/>
        <v>2094</v>
      </c>
      <c r="BB106" s="1152">
        <f t="shared" si="9"/>
        <v>512972.70547443983</v>
      </c>
      <c r="BC106" s="1151">
        <f t="shared" si="10"/>
        <v>51</v>
      </c>
      <c r="BD106" s="1151">
        <f t="shared" si="11"/>
        <v>51</v>
      </c>
      <c r="BE106" s="1151">
        <f t="shared" ref="BE106:BE143" si="17">RANK(BA106,$BA$105:$BA$143)</f>
        <v>38</v>
      </c>
    </row>
    <row r="107" spans="1:57" ht="15.75">
      <c r="A107" s="666">
        <v>1979</v>
      </c>
      <c r="B107" s="1121">
        <f t="shared" si="16"/>
        <v>621659.1474358975</v>
      </c>
      <c r="C107" s="6"/>
      <c r="D107" s="975">
        <v>4718</v>
      </c>
      <c r="E107" s="669"/>
      <c r="F107" s="1120">
        <v>626377.1474358975</v>
      </c>
      <c r="G107" s="6"/>
      <c r="H107" s="6"/>
      <c r="I107" s="667">
        <f t="shared" si="2"/>
        <v>1979</v>
      </c>
      <c r="J107" s="670">
        <f t="shared" si="12"/>
        <v>79628</v>
      </c>
      <c r="K107" s="6"/>
      <c r="L107" s="669">
        <v>900</v>
      </c>
      <c r="M107" s="6"/>
      <c r="N107" s="669">
        <v>80528</v>
      </c>
      <c r="O107" s="6"/>
      <c r="P107" s="6"/>
      <c r="Q107" s="667">
        <f t="shared" si="3"/>
        <v>1979</v>
      </c>
      <c r="R107" s="946">
        <v>251903.14743589744</v>
      </c>
      <c r="S107" s="6"/>
      <c r="T107" s="669">
        <v>127900</v>
      </c>
      <c r="U107" s="6"/>
      <c r="V107" s="670">
        <f t="shared" ref="V107:V134" si="18">T107+R107</f>
        <v>379803.14743589744</v>
      </c>
      <c r="W107" s="6"/>
      <c r="X107" s="6"/>
      <c r="Y107" s="669">
        <v>290023.14743589744</v>
      </c>
      <c r="Z107" s="6"/>
      <c r="AA107" s="774">
        <f t="shared" si="13"/>
        <v>0.12808948493468578</v>
      </c>
      <c r="AB107" s="774">
        <f t="shared" si="15"/>
        <v>0.1907587961000424</v>
      </c>
      <c r="AC107" s="774">
        <f t="shared" si="14"/>
        <v>0.38904920967955209</v>
      </c>
      <c r="AE107" s="975"/>
      <c r="AF107" s="414"/>
      <c r="AY107">
        <f t="shared" si="6"/>
        <v>1979</v>
      </c>
      <c r="AZ107" s="414">
        <f t="shared" si="7"/>
        <v>621659.1474358975</v>
      </c>
      <c r="BA107">
        <f t="shared" si="8"/>
        <v>4718</v>
      </c>
      <c r="BB107" s="1152">
        <f t="shared" si="9"/>
        <v>626377.1474358975</v>
      </c>
      <c r="BC107" s="1151">
        <f t="shared" si="10"/>
        <v>49</v>
      </c>
      <c r="BD107" s="1151">
        <f t="shared" si="11"/>
        <v>49</v>
      </c>
      <c r="BE107" s="1151">
        <f t="shared" si="17"/>
        <v>37</v>
      </c>
    </row>
    <row r="108" spans="1:57" ht="15.75">
      <c r="A108" s="666">
        <v>1980</v>
      </c>
      <c r="B108" s="1121">
        <f t="shared" si="16"/>
        <v>660391.6797237664</v>
      </c>
      <c r="C108" s="671">
        <f>RANK(B108,B$108:B$143)</f>
        <v>36</v>
      </c>
      <c r="D108" s="975">
        <v>5189</v>
      </c>
      <c r="E108" s="671">
        <f>RANK(D108,D$108:D$143)</f>
        <v>36</v>
      </c>
      <c r="F108" s="1120">
        <v>665580.6797237664</v>
      </c>
      <c r="G108" s="671">
        <f>RANK(F108,F$108:F$143)</f>
        <v>36</v>
      </c>
      <c r="H108" s="6"/>
      <c r="I108" s="667">
        <f t="shared" si="2"/>
        <v>1980</v>
      </c>
      <c r="J108" s="670">
        <f t="shared" si="12"/>
        <v>18558</v>
      </c>
      <c r="K108" s="671">
        <f>RANK(J108,J$108:J$143)</f>
        <v>36</v>
      </c>
      <c r="L108" s="669">
        <v>350</v>
      </c>
      <c r="M108" s="671">
        <f>RANK(L108,L$108:L$143)</f>
        <v>36</v>
      </c>
      <c r="N108" s="669">
        <v>18908</v>
      </c>
      <c r="O108" s="671">
        <f>RANK(N108,N$108:N$143)</f>
        <v>36</v>
      </c>
      <c r="P108" s="6"/>
      <c r="Q108" s="667">
        <f t="shared" si="3"/>
        <v>1980</v>
      </c>
      <c r="R108" s="946">
        <v>295345.6797237664</v>
      </c>
      <c r="S108" s="671">
        <f>RANK(R108,R$108:R$142)</f>
        <v>35</v>
      </c>
      <c r="T108" s="669">
        <v>181750</v>
      </c>
      <c r="U108" s="671">
        <f>RANK(T108,T$108:T$142)</f>
        <v>1</v>
      </c>
      <c r="V108" s="670">
        <f t="shared" si="18"/>
        <v>477095.6797237664</v>
      </c>
      <c r="W108" s="671">
        <f>RANK(V108,V$108:V$143)</f>
        <v>29</v>
      </c>
      <c r="X108" s="6"/>
      <c r="Y108" s="669">
        <v>332745.6797237664</v>
      </c>
      <c r="Z108" s="671">
        <f>RANK(Y108,Y$108:Y$143)</f>
        <v>35</v>
      </c>
      <c r="AA108" s="774">
        <f t="shared" si="13"/>
        <v>2.8101504864147562E-2</v>
      </c>
      <c r="AB108" s="774">
        <f t="shared" si="15"/>
        <v>6.7450375794950862E-2</v>
      </c>
      <c r="AC108" s="774">
        <f t="shared" si="14"/>
        <v>0.27755649507375746</v>
      </c>
      <c r="AE108" s="975"/>
      <c r="AF108" s="414"/>
      <c r="AY108">
        <f t="shared" si="6"/>
        <v>1980</v>
      </c>
      <c r="AZ108" s="414">
        <f t="shared" si="7"/>
        <v>660391.6797237664</v>
      </c>
      <c r="BA108">
        <f t="shared" si="8"/>
        <v>5189</v>
      </c>
      <c r="BB108" s="1152">
        <f t="shared" si="9"/>
        <v>665580.6797237664</v>
      </c>
      <c r="BC108" s="1151">
        <f t="shared" si="10"/>
        <v>48</v>
      </c>
      <c r="BD108" s="1151">
        <f t="shared" si="11"/>
        <v>48</v>
      </c>
      <c r="BE108" s="1151">
        <f t="shared" si="17"/>
        <v>36</v>
      </c>
    </row>
    <row r="109" spans="1:57" ht="15.75">
      <c r="A109" s="666">
        <v>1981</v>
      </c>
      <c r="B109" s="1121">
        <f t="shared" si="16"/>
        <v>1322493.0318549268</v>
      </c>
      <c r="C109" s="671">
        <f t="shared" ref="C109:C142" si="19">RANK(B109,B$108:B$143)</f>
        <v>31</v>
      </c>
      <c r="D109" s="975">
        <v>8728</v>
      </c>
      <c r="E109" s="671">
        <f t="shared" ref="E109:E143" si="20">RANK(D109,D$108:D$143)</f>
        <v>35</v>
      </c>
      <c r="F109" s="1120">
        <v>1331221.0318549268</v>
      </c>
      <c r="G109" s="671">
        <f t="shared" ref="G109:G143" si="21">RANK(F109,F$108:F$143)</f>
        <v>33</v>
      </c>
      <c r="H109" s="6"/>
      <c r="I109" s="667">
        <f t="shared" si="2"/>
        <v>1981</v>
      </c>
      <c r="J109" s="670">
        <f t="shared" si="12"/>
        <v>474062</v>
      </c>
      <c r="K109" s="671">
        <f t="shared" ref="K109:K143" si="22">RANK(J109,J$108:J$143)</f>
        <v>33</v>
      </c>
      <c r="L109" s="669">
        <v>3600</v>
      </c>
      <c r="M109" s="671">
        <f t="shared" ref="M109:M143" si="23">RANK(L109,L$108:L$143)</f>
        <v>34</v>
      </c>
      <c r="N109" s="669">
        <v>477662</v>
      </c>
      <c r="O109" s="671">
        <f t="shared" ref="O109:O143" si="24">RANK(N109,N$108:N$143)</f>
        <v>34</v>
      </c>
      <c r="P109" s="6"/>
      <c r="Q109" s="667">
        <f t="shared" si="3"/>
        <v>1981</v>
      </c>
      <c r="R109" s="946">
        <v>476050.26659383869</v>
      </c>
      <c r="S109" s="671">
        <f t="shared" ref="S109:S141" si="25">RANK(R109,R$108:R$142)</f>
        <v>18</v>
      </c>
      <c r="T109" s="669">
        <v>143050</v>
      </c>
      <c r="U109" s="671">
        <f t="shared" ref="U109:U141" si="26">RANK(T109,T$108:T$142)</f>
        <v>3</v>
      </c>
      <c r="V109" s="670">
        <f t="shared" si="18"/>
        <v>619100.26659383869</v>
      </c>
      <c r="W109" s="671">
        <f t="shared" ref="W109:W142" si="27">RANK(V109,V$108:V$143)</f>
        <v>10</v>
      </c>
      <c r="X109" s="6"/>
      <c r="Y109" s="669">
        <v>547391.26659383869</v>
      </c>
      <c r="Z109" s="671">
        <f t="shared" ref="Z109:Z141" si="28">RANK(Y109,Y$108:Y$143)</f>
        <v>29</v>
      </c>
      <c r="AA109" s="774">
        <f t="shared" si="13"/>
        <v>0.35846086790724435</v>
      </c>
      <c r="AB109" s="774">
        <f t="shared" si="15"/>
        <v>0.41246562786434465</v>
      </c>
      <c r="AC109" s="774">
        <f t="shared" si="14"/>
        <v>0.53186878744798405</v>
      </c>
      <c r="AE109" s="975"/>
      <c r="AF109" s="414"/>
      <c r="AY109">
        <f t="shared" si="6"/>
        <v>1981</v>
      </c>
      <c r="AZ109" s="414">
        <f t="shared" si="7"/>
        <v>1322493.0318549268</v>
      </c>
      <c r="BA109">
        <f t="shared" si="8"/>
        <v>8728</v>
      </c>
      <c r="BB109" s="1152">
        <f t="shared" si="9"/>
        <v>1331221.0318549268</v>
      </c>
      <c r="BC109" s="1151">
        <f t="shared" si="10"/>
        <v>35</v>
      </c>
      <c r="BD109" s="1151">
        <f t="shared" si="11"/>
        <v>33</v>
      </c>
      <c r="BE109" s="1151">
        <f t="shared" si="17"/>
        <v>35</v>
      </c>
    </row>
    <row r="110" spans="1:57" ht="15.75">
      <c r="A110" s="666">
        <v>1982</v>
      </c>
      <c r="B110" s="1121">
        <f t="shared" si="16"/>
        <v>1895557.1797603075</v>
      </c>
      <c r="C110" s="671">
        <f t="shared" si="19"/>
        <v>13</v>
      </c>
      <c r="D110" s="975">
        <v>9662</v>
      </c>
      <c r="E110" s="671">
        <f t="shared" si="20"/>
        <v>34</v>
      </c>
      <c r="F110" s="1120">
        <v>1905219.1797603075</v>
      </c>
      <c r="G110" s="671">
        <f t="shared" si="21"/>
        <v>20</v>
      </c>
      <c r="H110" s="6"/>
      <c r="I110" s="667">
        <f t="shared" si="2"/>
        <v>1982</v>
      </c>
      <c r="J110" s="670">
        <f t="shared" si="12"/>
        <v>1174032</v>
      </c>
      <c r="K110" s="671">
        <f t="shared" si="22"/>
        <v>12</v>
      </c>
      <c r="L110" s="669">
        <v>3600</v>
      </c>
      <c r="M110" s="671">
        <f t="shared" si="23"/>
        <v>34</v>
      </c>
      <c r="N110" s="669">
        <v>1177632</v>
      </c>
      <c r="O110" s="671">
        <f t="shared" si="24"/>
        <v>20</v>
      </c>
      <c r="P110" s="6"/>
      <c r="Q110" s="667">
        <f t="shared" si="3"/>
        <v>1982</v>
      </c>
      <c r="R110" s="946">
        <v>383870.7838385498</v>
      </c>
      <c r="S110" s="671">
        <f t="shared" si="25"/>
        <v>30</v>
      </c>
      <c r="T110" s="669">
        <v>106770</v>
      </c>
      <c r="U110" s="671">
        <f t="shared" si="26"/>
        <v>6</v>
      </c>
      <c r="V110" s="670">
        <f t="shared" si="18"/>
        <v>490640.7838385498</v>
      </c>
      <c r="W110" s="671">
        <f t="shared" si="27"/>
        <v>26</v>
      </c>
      <c r="X110" s="6"/>
      <c r="Y110" s="669">
        <v>498385.7838385498</v>
      </c>
      <c r="Z110" s="671">
        <f t="shared" si="28"/>
        <v>30</v>
      </c>
      <c r="AA110" s="774">
        <f t="shared" si="13"/>
        <v>0.61935984444872083</v>
      </c>
      <c r="AB110" s="774">
        <f t="shared" si="15"/>
        <v>0.37259366590767956</v>
      </c>
      <c r="AC110" s="774">
        <f t="shared" si="14"/>
        <v>0.74116276254953639</v>
      </c>
      <c r="AE110" s="975"/>
      <c r="AF110" s="414"/>
      <c r="AY110">
        <f t="shared" si="6"/>
        <v>1982</v>
      </c>
      <c r="AZ110" s="414">
        <f t="shared" si="7"/>
        <v>1895557.1797603075</v>
      </c>
      <c r="BA110">
        <f t="shared" si="8"/>
        <v>9662</v>
      </c>
      <c r="BB110" s="1152">
        <f t="shared" si="9"/>
        <v>1905219.1797603075</v>
      </c>
      <c r="BC110" s="1151">
        <f t="shared" si="10"/>
        <v>20</v>
      </c>
      <c r="BD110" s="1151">
        <f t="shared" si="11"/>
        <v>13</v>
      </c>
      <c r="BE110" s="1151">
        <f t="shared" si="17"/>
        <v>34</v>
      </c>
    </row>
    <row r="111" spans="1:57" ht="15.75">
      <c r="A111" s="666">
        <v>1983</v>
      </c>
      <c r="B111" s="1121">
        <f t="shared" si="16"/>
        <v>1428586.8681101864</v>
      </c>
      <c r="C111" s="671">
        <f t="shared" si="19"/>
        <v>29</v>
      </c>
      <c r="D111" s="975">
        <v>14269</v>
      </c>
      <c r="E111" s="671">
        <f t="shared" si="20"/>
        <v>33</v>
      </c>
      <c r="F111" s="1120">
        <v>1442855.8681101864</v>
      </c>
      <c r="G111" s="671">
        <f t="shared" si="21"/>
        <v>31</v>
      </c>
      <c r="H111" s="6"/>
      <c r="I111" s="667">
        <f t="shared" si="2"/>
        <v>1983</v>
      </c>
      <c r="J111" s="670">
        <f t="shared" si="12"/>
        <v>620135</v>
      </c>
      <c r="K111" s="671">
        <f t="shared" si="22"/>
        <v>30</v>
      </c>
      <c r="L111" s="669">
        <v>6600</v>
      </c>
      <c r="M111" s="671">
        <f t="shared" si="23"/>
        <v>32</v>
      </c>
      <c r="N111" s="669">
        <v>626735</v>
      </c>
      <c r="O111" s="671">
        <f t="shared" si="24"/>
        <v>32</v>
      </c>
      <c r="P111" s="6"/>
      <c r="Q111" s="667">
        <f t="shared" si="3"/>
        <v>1983</v>
      </c>
      <c r="R111" s="946">
        <v>433651.42991930794</v>
      </c>
      <c r="S111" s="671">
        <f t="shared" si="25"/>
        <v>25</v>
      </c>
      <c r="T111" s="669">
        <v>115750</v>
      </c>
      <c r="U111" s="671">
        <f t="shared" si="26"/>
        <v>5</v>
      </c>
      <c r="V111" s="670">
        <f t="shared" si="18"/>
        <v>549401.42991930794</v>
      </c>
      <c r="W111" s="671">
        <f t="shared" si="27"/>
        <v>19</v>
      </c>
      <c r="X111" s="6"/>
      <c r="Y111" s="669">
        <v>553566.42991930794</v>
      </c>
      <c r="Z111" s="671">
        <f t="shared" si="28"/>
        <v>27</v>
      </c>
      <c r="AA111" s="774">
        <f t="shared" si="13"/>
        <v>0.43408980849750411</v>
      </c>
      <c r="AB111" s="774">
        <f t="shared" si="15"/>
        <v>0.46254117317261195</v>
      </c>
      <c r="AC111" s="774">
        <f t="shared" si="14"/>
        <v>0.61542315543885229</v>
      </c>
      <c r="AE111" s="975"/>
      <c r="AF111" s="414"/>
      <c r="AY111">
        <f t="shared" si="6"/>
        <v>1983</v>
      </c>
      <c r="AZ111" s="414">
        <f t="shared" si="7"/>
        <v>1428586.8681101864</v>
      </c>
      <c r="BA111">
        <f t="shared" si="8"/>
        <v>14269</v>
      </c>
      <c r="BB111" s="1152">
        <f t="shared" si="9"/>
        <v>1442855.8681101864</v>
      </c>
      <c r="BC111" s="1151">
        <f t="shared" si="10"/>
        <v>32</v>
      </c>
      <c r="BD111" s="1151">
        <f t="shared" si="11"/>
        <v>30</v>
      </c>
      <c r="BE111" s="1151">
        <f t="shared" si="17"/>
        <v>33</v>
      </c>
    </row>
    <row r="112" spans="1:57" ht="15.75">
      <c r="A112" s="666">
        <v>1984</v>
      </c>
      <c r="B112" s="1121">
        <f t="shared" si="16"/>
        <v>1811514.7361524117</v>
      </c>
      <c r="C112" s="671">
        <f t="shared" si="19"/>
        <v>15</v>
      </c>
      <c r="D112" s="975">
        <v>20418</v>
      </c>
      <c r="E112" s="671">
        <f t="shared" si="20"/>
        <v>32</v>
      </c>
      <c r="F112" s="1120">
        <v>1831932.7361524117</v>
      </c>
      <c r="G112" s="671">
        <f t="shared" si="21"/>
        <v>22</v>
      </c>
      <c r="H112" s="6"/>
      <c r="I112" s="667">
        <f t="shared" si="2"/>
        <v>1984</v>
      </c>
      <c r="J112" s="670">
        <f t="shared" si="12"/>
        <v>894725.0246168907</v>
      </c>
      <c r="K112" s="671">
        <f t="shared" si="22"/>
        <v>22</v>
      </c>
      <c r="L112" s="669">
        <v>5317.9753831093367</v>
      </c>
      <c r="M112" s="671">
        <f t="shared" si="23"/>
        <v>33</v>
      </c>
      <c r="N112" s="669">
        <v>900043</v>
      </c>
      <c r="O112" s="671">
        <f t="shared" si="24"/>
        <v>27</v>
      </c>
      <c r="P112" s="6"/>
      <c r="Q112" s="667">
        <f t="shared" si="3"/>
        <v>1984</v>
      </c>
      <c r="R112" s="946">
        <v>499791.73615241167</v>
      </c>
      <c r="S112" s="671">
        <f t="shared" si="25"/>
        <v>15</v>
      </c>
      <c r="T112" s="669">
        <v>168840</v>
      </c>
      <c r="U112" s="671">
        <f t="shared" si="26"/>
        <v>2</v>
      </c>
      <c r="V112" s="670">
        <f t="shared" si="18"/>
        <v>668631.73615241167</v>
      </c>
      <c r="W112" s="671">
        <f t="shared" si="27"/>
        <v>8</v>
      </c>
      <c r="X112" s="6"/>
      <c r="Y112" s="669">
        <v>593885.73615241167</v>
      </c>
      <c r="Z112" s="671">
        <f t="shared" si="28"/>
        <v>23</v>
      </c>
      <c r="AA112" s="774">
        <f t="shared" si="13"/>
        <v>0.49390987926339069</v>
      </c>
      <c r="AB112" s="774">
        <f t="shared" si="15"/>
        <v>0.26045525433976574</v>
      </c>
      <c r="AC112" s="774">
        <f t="shared" si="14"/>
        <v>0.63089909079483397</v>
      </c>
      <c r="AE112" s="975"/>
      <c r="AF112" s="414"/>
      <c r="AY112">
        <f t="shared" si="6"/>
        <v>1984</v>
      </c>
      <c r="AZ112" s="414">
        <f t="shared" si="7"/>
        <v>1811514.7361524117</v>
      </c>
      <c r="BA112">
        <f t="shared" si="8"/>
        <v>20418</v>
      </c>
      <c r="BB112" s="1152">
        <f t="shared" si="9"/>
        <v>1831932.7361524117</v>
      </c>
      <c r="BC112" s="1151">
        <f t="shared" si="10"/>
        <v>22</v>
      </c>
      <c r="BD112" s="1151">
        <f t="shared" si="11"/>
        <v>15</v>
      </c>
      <c r="BE112" s="1151">
        <f t="shared" si="17"/>
        <v>32</v>
      </c>
    </row>
    <row r="113" spans="1:57" ht="15.75">
      <c r="A113" s="666">
        <v>1985</v>
      </c>
      <c r="B113" s="1121">
        <f t="shared" si="16"/>
        <v>1604322.2163551403</v>
      </c>
      <c r="C113" s="671">
        <f t="shared" si="19"/>
        <v>24</v>
      </c>
      <c r="D113" s="975">
        <v>54756</v>
      </c>
      <c r="E113" s="671">
        <f t="shared" si="20"/>
        <v>30</v>
      </c>
      <c r="F113" s="1120">
        <v>1659078.2163551403</v>
      </c>
      <c r="G113" s="671">
        <f t="shared" si="21"/>
        <v>29</v>
      </c>
      <c r="H113" s="6"/>
      <c r="I113" s="667">
        <f t="shared" si="2"/>
        <v>1985</v>
      </c>
      <c r="J113" s="670">
        <f t="shared" si="12"/>
        <v>895807.52852910431</v>
      </c>
      <c r="K113" s="671">
        <f t="shared" si="22"/>
        <v>21</v>
      </c>
      <c r="L113" s="669">
        <v>31955.471470895634</v>
      </c>
      <c r="M113" s="671">
        <f t="shared" si="23"/>
        <v>29</v>
      </c>
      <c r="N113" s="669">
        <v>927763</v>
      </c>
      <c r="O113" s="671">
        <f t="shared" si="24"/>
        <v>25</v>
      </c>
      <c r="P113" s="6"/>
      <c r="Q113" s="667">
        <f t="shared" si="3"/>
        <v>1985</v>
      </c>
      <c r="R113" s="946">
        <v>327369.31572748127</v>
      </c>
      <c r="S113" s="671">
        <f t="shared" si="25"/>
        <v>34</v>
      </c>
      <c r="T113" s="669">
        <v>142050</v>
      </c>
      <c r="U113" s="671">
        <f t="shared" si="26"/>
        <v>4</v>
      </c>
      <c r="V113" s="670">
        <f t="shared" si="18"/>
        <v>469419.31572748127</v>
      </c>
      <c r="W113" s="671">
        <f t="shared" si="27"/>
        <v>30</v>
      </c>
      <c r="X113" s="6"/>
      <c r="Y113" s="669">
        <v>445237.31572748127</v>
      </c>
      <c r="Z113" s="671">
        <f t="shared" si="28"/>
        <v>34</v>
      </c>
      <c r="AA113" s="774">
        <f t="shared" si="13"/>
        <v>0.55837132927342326</v>
      </c>
      <c r="AB113" s="774">
        <f t="shared" si="15"/>
        <v>0.58359762347314692</v>
      </c>
      <c r="AC113" s="774">
        <f t="shared" si="14"/>
        <v>0.70740334395296545</v>
      </c>
      <c r="AE113" s="975"/>
      <c r="AF113" s="414"/>
      <c r="AY113">
        <f t="shared" si="6"/>
        <v>1985</v>
      </c>
      <c r="AZ113" s="414">
        <f t="shared" si="7"/>
        <v>1604322.2163551403</v>
      </c>
      <c r="BA113">
        <f t="shared" si="8"/>
        <v>54756</v>
      </c>
      <c r="BB113" s="1152">
        <f t="shared" si="9"/>
        <v>1659078.2163551403</v>
      </c>
      <c r="BC113" s="1151">
        <f t="shared" si="10"/>
        <v>29</v>
      </c>
      <c r="BD113" s="1151">
        <f t="shared" si="11"/>
        <v>24</v>
      </c>
      <c r="BE113" s="1151">
        <f t="shared" si="17"/>
        <v>30</v>
      </c>
    </row>
    <row r="114" spans="1:57" ht="15.75">
      <c r="A114" s="666">
        <v>1986</v>
      </c>
      <c r="B114" s="1121">
        <f t="shared" si="16"/>
        <v>1332560.0055745668</v>
      </c>
      <c r="C114" s="671">
        <f t="shared" si="19"/>
        <v>30</v>
      </c>
      <c r="D114" s="975">
        <v>54046</v>
      </c>
      <c r="E114" s="671">
        <f t="shared" si="20"/>
        <v>31</v>
      </c>
      <c r="F114" s="1120">
        <v>1386606.0055745668</v>
      </c>
      <c r="G114" s="671">
        <f t="shared" si="21"/>
        <v>32</v>
      </c>
      <c r="H114" s="6"/>
      <c r="I114" s="667">
        <f t="shared" si="2"/>
        <v>1986</v>
      </c>
      <c r="J114" s="670">
        <f t="shared" si="12"/>
        <v>750065.57748842274</v>
      </c>
      <c r="K114" s="671">
        <f t="shared" si="22"/>
        <v>28</v>
      </c>
      <c r="L114" s="669">
        <v>30404.422511577239</v>
      </c>
      <c r="M114" s="671">
        <f t="shared" si="23"/>
        <v>30</v>
      </c>
      <c r="N114" s="669">
        <v>780470</v>
      </c>
      <c r="O114" s="671">
        <f t="shared" si="24"/>
        <v>30</v>
      </c>
      <c r="P114" s="6"/>
      <c r="Q114" s="667">
        <f t="shared" si="3"/>
        <v>1986</v>
      </c>
      <c r="R114" s="946">
        <v>361591.00557456672</v>
      </c>
      <c r="S114" s="671">
        <f t="shared" si="25"/>
        <v>32</v>
      </c>
      <c r="T114" s="669">
        <v>75295</v>
      </c>
      <c r="U114" s="671">
        <f t="shared" si="26"/>
        <v>19</v>
      </c>
      <c r="V114" s="670">
        <f t="shared" si="18"/>
        <v>436886.00557456672</v>
      </c>
      <c r="W114" s="671">
        <f t="shared" si="27"/>
        <v>35</v>
      </c>
      <c r="X114" s="6"/>
      <c r="Y114" s="669">
        <v>455198.00557456672</v>
      </c>
      <c r="Z114" s="671">
        <f t="shared" si="28"/>
        <v>33</v>
      </c>
      <c r="AA114" s="774">
        <f t="shared" si="13"/>
        <v>0.56287564863918682</v>
      </c>
      <c r="AB114" s="774">
        <f t="shared" si="15"/>
        <v>0.56256563874435184</v>
      </c>
      <c r="AC114" s="774">
        <f t="shared" si="14"/>
        <v>0.67214534148787364</v>
      </c>
      <c r="AE114" s="975"/>
      <c r="AF114" s="414"/>
      <c r="AY114">
        <f t="shared" si="6"/>
        <v>1986</v>
      </c>
      <c r="AZ114" s="414">
        <f t="shared" si="7"/>
        <v>1332560.0055745668</v>
      </c>
      <c r="BA114">
        <f t="shared" si="8"/>
        <v>54046</v>
      </c>
      <c r="BB114" s="1152">
        <f t="shared" si="9"/>
        <v>1386606.0055745668</v>
      </c>
      <c r="BC114" s="1151">
        <f t="shared" si="10"/>
        <v>34</v>
      </c>
      <c r="BD114" s="1151">
        <f t="shared" si="11"/>
        <v>32</v>
      </c>
      <c r="BE114" s="1151">
        <f t="shared" si="17"/>
        <v>31</v>
      </c>
    </row>
    <row r="115" spans="1:57" ht="15.75">
      <c r="A115" s="666">
        <v>1987</v>
      </c>
      <c r="B115" s="1121">
        <f t="shared" si="16"/>
        <v>1718263.9938925835</v>
      </c>
      <c r="C115" s="671">
        <f t="shared" si="19"/>
        <v>21</v>
      </c>
      <c r="D115" s="975">
        <v>78618</v>
      </c>
      <c r="E115" s="671">
        <f t="shared" si="20"/>
        <v>28</v>
      </c>
      <c r="F115" s="1120">
        <v>1796881.9938925835</v>
      </c>
      <c r="G115" s="671">
        <f t="shared" si="21"/>
        <v>23</v>
      </c>
      <c r="H115" s="6"/>
      <c r="I115" s="667">
        <f t="shared" si="2"/>
        <v>1987</v>
      </c>
      <c r="J115" s="670">
        <f t="shared" si="12"/>
        <v>1133480.8463932795</v>
      </c>
      <c r="K115" s="671">
        <f t="shared" si="22"/>
        <v>13</v>
      </c>
      <c r="L115" s="669">
        <v>47347.153606720458</v>
      </c>
      <c r="M115" s="671">
        <f t="shared" si="23"/>
        <v>28</v>
      </c>
      <c r="N115" s="669">
        <v>1180828</v>
      </c>
      <c r="O115" s="671">
        <f t="shared" si="24"/>
        <v>19</v>
      </c>
      <c r="P115" s="6"/>
      <c r="Q115" s="667">
        <f t="shared" si="3"/>
        <v>1987</v>
      </c>
      <c r="R115" s="946">
        <v>384602.99389258347</v>
      </c>
      <c r="S115" s="671">
        <f t="shared" si="25"/>
        <v>29</v>
      </c>
      <c r="T115" s="669">
        <v>60698</v>
      </c>
      <c r="U115" s="671">
        <f t="shared" si="26"/>
        <v>31</v>
      </c>
      <c r="V115" s="670">
        <f t="shared" si="18"/>
        <v>445300.99389258347</v>
      </c>
      <c r="W115" s="671">
        <f t="shared" si="27"/>
        <v>32</v>
      </c>
      <c r="X115" s="6"/>
      <c r="Y115" s="669">
        <v>494298.99389258347</v>
      </c>
      <c r="Z115" s="671">
        <f t="shared" si="28"/>
        <v>31</v>
      </c>
      <c r="AA115" s="774">
        <f t="shared" si="13"/>
        <v>0.65966629715930514</v>
      </c>
      <c r="AB115" s="774">
        <f t="shared" si="15"/>
        <v>0.60224317086062296</v>
      </c>
      <c r="AC115" s="774">
        <f t="shared" si="14"/>
        <v>0.74084250413477426</v>
      </c>
      <c r="AE115" s="975"/>
      <c r="AF115" s="414"/>
      <c r="AY115">
        <f t="shared" si="6"/>
        <v>1987</v>
      </c>
      <c r="AZ115" s="414">
        <f t="shared" si="7"/>
        <v>1718263.9938925835</v>
      </c>
      <c r="BA115">
        <f t="shared" si="8"/>
        <v>78618</v>
      </c>
      <c r="BB115" s="1152">
        <f t="shared" si="9"/>
        <v>1796881.9938925835</v>
      </c>
      <c r="BC115" s="1151">
        <f t="shared" si="10"/>
        <v>23</v>
      </c>
      <c r="BD115" s="1151">
        <f t="shared" si="11"/>
        <v>21</v>
      </c>
      <c r="BE115" s="1151">
        <f t="shared" si="17"/>
        <v>28</v>
      </c>
    </row>
    <row r="116" spans="1:57" ht="15.75">
      <c r="A116" s="666">
        <v>1988</v>
      </c>
      <c r="B116" s="1121">
        <f t="shared" si="16"/>
        <v>1042871.9759558276</v>
      </c>
      <c r="C116" s="671">
        <f t="shared" si="19"/>
        <v>35</v>
      </c>
      <c r="D116" s="975">
        <v>135028</v>
      </c>
      <c r="E116" s="671">
        <f t="shared" si="20"/>
        <v>24</v>
      </c>
      <c r="F116" s="1120">
        <v>1177899.9759558276</v>
      </c>
      <c r="G116" s="671">
        <f t="shared" si="21"/>
        <v>34</v>
      </c>
      <c r="H116" s="6"/>
      <c r="I116" s="667">
        <f t="shared" si="2"/>
        <v>1988</v>
      </c>
      <c r="J116" s="670">
        <f t="shared" si="12"/>
        <v>484653.84585889534</v>
      </c>
      <c r="K116" s="671">
        <f t="shared" si="22"/>
        <v>32</v>
      </c>
      <c r="L116" s="669">
        <v>92552.154141104664</v>
      </c>
      <c r="M116" s="671">
        <f t="shared" si="23"/>
        <v>23</v>
      </c>
      <c r="N116" s="669">
        <v>577206</v>
      </c>
      <c r="O116" s="671">
        <f t="shared" si="24"/>
        <v>33</v>
      </c>
      <c r="P116" s="6"/>
      <c r="Q116" s="667">
        <f t="shared" si="3"/>
        <v>1988</v>
      </c>
      <c r="R116" s="946">
        <v>389149.97595582763</v>
      </c>
      <c r="S116" s="671">
        <f t="shared" si="25"/>
        <v>27</v>
      </c>
      <c r="T116" s="669">
        <v>53315</v>
      </c>
      <c r="U116" s="671">
        <f t="shared" si="26"/>
        <v>34</v>
      </c>
      <c r="V116" s="670">
        <f t="shared" si="18"/>
        <v>442464.97595582763</v>
      </c>
      <c r="W116" s="671">
        <f t="shared" si="27"/>
        <v>33</v>
      </c>
      <c r="X116" s="6"/>
      <c r="Y116" s="669">
        <v>493837.97595582763</v>
      </c>
      <c r="Z116" s="671">
        <f t="shared" si="28"/>
        <v>32</v>
      </c>
      <c r="AA116" s="774">
        <f t="shared" si="13"/>
        <v>0.46472995442675846</v>
      </c>
      <c r="AB116" s="774">
        <f t="shared" si="15"/>
        <v>0.68542934903208719</v>
      </c>
      <c r="AC116" s="774">
        <f t="shared" si="14"/>
        <v>0.57572455089677388</v>
      </c>
      <c r="AE116" s="975"/>
      <c r="AF116" s="414"/>
      <c r="AY116">
        <f t="shared" si="6"/>
        <v>1988</v>
      </c>
      <c r="AZ116" s="414">
        <f t="shared" si="7"/>
        <v>1042871.9759558276</v>
      </c>
      <c r="BA116">
        <f t="shared" si="8"/>
        <v>135028</v>
      </c>
      <c r="BB116" s="1152">
        <f t="shared" si="9"/>
        <v>1177899.9759558276</v>
      </c>
      <c r="BC116" s="1151">
        <f t="shared" si="10"/>
        <v>39</v>
      </c>
      <c r="BD116" s="1151">
        <f t="shared" si="11"/>
        <v>42</v>
      </c>
      <c r="BE116" s="1151">
        <f t="shared" si="17"/>
        <v>24</v>
      </c>
    </row>
    <row r="117" spans="1:57" ht="15.75">
      <c r="A117" s="666">
        <v>1989</v>
      </c>
      <c r="B117" s="1121">
        <f t="shared" si="16"/>
        <v>1509011.378424929</v>
      </c>
      <c r="C117" s="671">
        <f t="shared" si="19"/>
        <v>27</v>
      </c>
      <c r="D117" s="975">
        <v>236452</v>
      </c>
      <c r="E117" s="671">
        <f t="shared" si="20"/>
        <v>17</v>
      </c>
      <c r="F117" s="1120">
        <v>1745463.378424929</v>
      </c>
      <c r="G117" s="671">
        <f t="shared" si="21"/>
        <v>24</v>
      </c>
      <c r="H117" s="6"/>
      <c r="I117" s="667">
        <f t="shared" si="2"/>
        <v>1989</v>
      </c>
      <c r="J117" s="670">
        <f t="shared" si="12"/>
        <v>850430.07763412467</v>
      </c>
      <c r="K117" s="671">
        <f t="shared" si="22"/>
        <v>24</v>
      </c>
      <c r="L117" s="669">
        <v>175642.92236587533</v>
      </c>
      <c r="M117" s="671">
        <f t="shared" si="23"/>
        <v>14</v>
      </c>
      <c r="N117" s="669">
        <v>1026073</v>
      </c>
      <c r="O117" s="671">
        <f t="shared" si="24"/>
        <v>23</v>
      </c>
      <c r="P117" s="6"/>
      <c r="Q117" s="667">
        <f t="shared" si="3"/>
        <v>1989</v>
      </c>
      <c r="R117" s="946">
        <v>477667.37842492911</v>
      </c>
      <c r="S117" s="671">
        <f t="shared" si="25"/>
        <v>17</v>
      </c>
      <c r="T117" s="669">
        <v>51700</v>
      </c>
      <c r="U117" s="671">
        <f t="shared" si="26"/>
        <v>35</v>
      </c>
      <c r="V117" s="670">
        <f t="shared" si="18"/>
        <v>529367.37842492911</v>
      </c>
      <c r="W117" s="671">
        <f t="shared" si="27"/>
        <v>24</v>
      </c>
      <c r="X117" s="6"/>
      <c r="Y117" s="669">
        <v>613389.37842492911</v>
      </c>
      <c r="Z117" s="671">
        <f t="shared" si="28"/>
        <v>21</v>
      </c>
      <c r="AA117" s="774">
        <f t="shared" si="13"/>
        <v>0.56356770385772958</v>
      </c>
      <c r="AB117" s="774">
        <f t="shared" si="15"/>
        <v>0.74282696854277119</v>
      </c>
      <c r="AC117" s="774">
        <f t="shared" si="14"/>
        <v>0.64919590004850036</v>
      </c>
      <c r="AE117" s="975"/>
      <c r="AF117" s="414"/>
      <c r="AY117">
        <f t="shared" si="6"/>
        <v>1989</v>
      </c>
      <c r="AZ117" s="414">
        <f t="shared" si="7"/>
        <v>1509011.378424929</v>
      </c>
      <c r="BA117">
        <f t="shared" si="8"/>
        <v>236452</v>
      </c>
      <c r="BB117" s="1152">
        <f t="shared" si="9"/>
        <v>1745463.378424929</v>
      </c>
      <c r="BC117" s="1151">
        <f t="shared" si="10"/>
        <v>24</v>
      </c>
      <c r="BD117" s="1151">
        <f t="shared" si="11"/>
        <v>27</v>
      </c>
      <c r="BE117" s="1151">
        <f t="shared" si="17"/>
        <v>17</v>
      </c>
    </row>
    <row r="118" spans="1:57" ht="15.75">
      <c r="A118" s="666">
        <v>1990</v>
      </c>
      <c r="B118" s="1121">
        <f t="shared" si="16"/>
        <v>1495101.0198381976</v>
      </c>
      <c r="C118" s="671">
        <f t="shared" si="19"/>
        <v>28</v>
      </c>
      <c r="D118" s="975">
        <v>91220</v>
      </c>
      <c r="E118" s="671">
        <f t="shared" si="20"/>
        <v>26</v>
      </c>
      <c r="F118" s="1120">
        <v>1586321.0198381976</v>
      </c>
      <c r="G118" s="671">
        <f t="shared" si="21"/>
        <v>30</v>
      </c>
      <c r="H118" s="6"/>
      <c r="I118" s="667">
        <f t="shared" si="2"/>
        <v>1990</v>
      </c>
      <c r="J118" s="670">
        <f t="shared" si="12"/>
        <v>780569.21588614048</v>
      </c>
      <c r="K118" s="671">
        <f t="shared" si="22"/>
        <v>27</v>
      </c>
      <c r="L118" s="669">
        <v>64916.784113859554</v>
      </c>
      <c r="M118" s="671">
        <f t="shared" si="23"/>
        <v>25</v>
      </c>
      <c r="N118" s="669">
        <v>845486</v>
      </c>
      <c r="O118" s="671">
        <f t="shared" si="24"/>
        <v>29</v>
      </c>
      <c r="P118" s="6"/>
      <c r="Q118" s="667">
        <f t="shared" si="3"/>
        <v>1990</v>
      </c>
      <c r="R118" s="946">
        <v>472978.01983819774</v>
      </c>
      <c r="S118" s="671">
        <f t="shared" si="25"/>
        <v>19</v>
      </c>
      <c r="T118" s="669">
        <v>73345</v>
      </c>
      <c r="U118" s="671">
        <f t="shared" si="26"/>
        <v>21</v>
      </c>
      <c r="V118" s="670">
        <f>T118+R118</f>
        <v>546323.01983819774</v>
      </c>
      <c r="W118" s="671">
        <f t="shared" si="27"/>
        <v>21</v>
      </c>
      <c r="X118" s="6"/>
      <c r="Y118" s="669">
        <v>593844.01983819774</v>
      </c>
      <c r="Z118" s="671">
        <f t="shared" si="28"/>
        <v>24</v>
      </c>
      <c r="AA118" s="774">
        <f t="shared" si="13"/>
        <v>0.52208459865181223</v>
      </c>
      <c r="AB118" s="774">
        <f t="shared" si="15"/>
        <v>0.7116507795862701</v>
      </c>
      <c r="AC118" s="774">
        <f t="shared" si="14"/>
        <v>0.63459123324166966</v>
      </c>
      <c r="AE118" s="975"/>
      <c r="AF118" s="414"/>
      <c r="AY118">
        <f t="shared" si="6"/>
        <v>1990</v>
      </c>
      <c r="AZ118" s="414">
        <f t="shared" si="7"/>
        <v>1495101.0198381976</v>
      </c>
      <c r="BA118">
        <f t="shared" si="8"/>
        <v>91220</v>
      </c>
      <c r="BB118" s="1152">
        <f t="shared" si="9"/>
        <v>1586321.0198381976</v>
      </c>
      <c r="BC118" s="1151">
        <f t="shared" si="10"/>
        <v>30</v>
      </c>
      <c r="BD118" s="1151">
        <f t="shared" si="11"/>
        <v>28</v>
      </c>
      <c r="BE118" s="1151">
        <f t="shared" si="17"/>
        <v>26</v>
      </c>
    </row>
    <row r="119" spans="1:57" ht="15.75">
      <c r="A119" s="666">
        <v>1991</v>
      </c>
      <c r="B119" s="1121">
        <f t="shared" si="16"/>
        <v>1788048.9220859462</v>
      </c>
      <c r="C119" s="671">
        <f t="shared" si="19"/>
        <v>17</v>
      </c>
      <c r="D119" s="975">
        <v>152117.32343332717</v>
      </c>
      <c r="E119" s="671">
        <f t="shared" si="20"/>
        <v>21</v>
      </c>
      <c r="F119" s="1120">
        <v>1940166.2455192734</v>
      </c>
      <c r="G119" s="671">
        <f t="shared" si="21"/>
        <v>19</v>
      </c>
      <c r="H119" s="6"/>
      <c r="I119" s="667">
        <f t="shared" si="2"/>
        <v>1991</v>
      </c>
      <c r="J119" s="670">
        <f t="shared" si="12"/>
        <v>1105035.2426849506</v>
      </c>
      <c r="K119" s="671">
        <f t="shared" si="22"/>
        <v>16</v>
      </c>
      <c r="L119" s="669">
        <v>102008.75731504936</v>
      </c>
      <c r="M119" s="671">
        <f t="shared" si="23"/>
        <v>19</v>
      </c>
      <c r="N119" s="669">
        <v>1207044</v>
      </c>
      <c r="O119" s="671">
        <f t="shared" si="24"/>
        <v>17</v>
      </c>
      <c r="P119" s="6"/>
      <c r="Q119" s="667">
        <f t="shared" si="3"/>
        <v>1991</v>
      </c>
      <c r="R119" s="946">
        <v>387195.92208594619</v>
      </c>
      <c r="S119" s="671">
        <f t="shared" si="25"/>
        <v>28</v>
      </c>
      <c r="T119" s="669">
        <v>90500</v>
      </c>
      <c r="U119" s="671">
        <f t="shared" si="26"/>
        <v>10</v>
      </c>
      <c r="V119" s="670">
        <f t="shared" si="18"/>
        <v>477695.92208594619</v>
      </c>
      <c r="W119" s="671">
        <f t="shared" si="27"/>
        <v>28</v>
      </c>
      <c r="X119" s="6"/>
      <c r="Y119" s="669">
        <v>550555.24551927333</v>
      </c>
      <c r="Z119" s="671">
        <f t="shared" si="28"/>
        <v>28</v>
      </c>
      <c r="AA119" s="774">
        <f t="shared" si="13"/>
        <v>0.61801174958670113</v>
      </c>
      <c r="AB119" s="774">
        <f t="shared" si="15"/>
        <v>0.67059263871257679</v>
      </c>
      <c r="AC119" s="774">
        <f t="shared" si="14"/>
        <v>0.73283956821010021</v>
      </c>
      <c r="AE119" s="975"/>
      <c r="AF119" s="414"/>
      <c r="AY119">
        <f t="shared" si="6"/>
        <v>1991</v>
      </c>
      <c r="AZ119" s="414">
        <f t="shared" si="7"/>
        <v>1788048.9220859462</v>
      </c>
      <c r="BA119">
        <f t="shared" si="8"/>
        <v>152117.32343332717</v>
      </c>
      <c r="BB119" s="1152">
        <f t="shared" si="9"/>
        <v>1940166.2455192734</v>
      </c>
      <c r="BC119" s="1151">
        <f t="shared" si="10"/>
        <v>19</v>
      </c>
      <c r="BD119" s="1151">
        <f t="shared" si="11"/>
        <v>17</v>
      </c>
      <c r="BE119" s="1151">
        <f t="shared" si="17"/>
        <v>21</v>
      </c>
    </row>
    <row r="120" spans="1:57" ht="15.75">
      <c r="A120" s="666">
        <v>1992</v>
      </c>
      <c r="B120" s="1121">
        <f t="shared" si="16"/>
        <v>1569573.0405643724</v>
      </c>
      <c r="C120" s="671">
        <f t="shared" si="19"/>
        <v>26</v>
      </c>
      <c r="D120" s="975">
        <v>130970.74130870457</v>
      </c>
      <c r="E120" s="671">
        <f t="shared" si="20"/>
        <v>25</v>
      </c>
      <c r="F120" s="1120">
        <v>1700543.7818730769</v>
      </c>
      <c r="G120" s="671">
        <f t="shared" si="21"/>
        <v>27</v>
      </c>
      <c r="H120" s="6"/>
      <c r="I120" s="667">
        <f t="shared" si="2"/>
        <v>1992</v>
      </c>
      <c r="J120" s="670">
        <f t="shared" si="12"/>
        <v>883839.25525875355</v>
      </c>
      <c r="K120" s="671">
        <f t="shared" si="22"/>
        <v>23</v>
      </c>
      <c r="L120" s="669">
        <v>87119.744741246468</v>
      </c>
      <c r="M120" s="671">
        <f t="shared" si="23"/>
        <v>24</v>
      </c>
      <c r="N120" s="669">
        <v>970959</v>
      </c>
      <c r="O120" s="671">
        <f t="shared" si="24"/>
        <v>24</v>
      </c>
      <c r="P120" s="6"/>
      <c r="Q120" s="667">
        <f t="shared" si="3"/>
        <v>1992</v>
      </c>
      <c r="R120" s="946">
        <v>406255.04056437232</v>
      </c>
      <c r="S120" s="671">
        <f t="shared" si="25"/>
        <v>26</v>
      </c>
      <c r="T120" s="669">
        <v>76827</v>
      </c>
      <c r="U120" s="671">
        <f t="shared" si="26"/>
        <v>15</v>
      </c>
      <c r="V120" s="670">
        <f t="shared" si="18"/>
        <v>483082.04056437232</v>
      </c>
      <c r="W120" s="671">
        <f t="shared" si="27"/>
        <v>27</v>
      </c>
      <c r="X120" s="6"/>
      <c r="Y120" s="669">
        <v>575166.78187307692</v>
      </c>
      <c r="Z120" s="671">
        <f t="shared" si="28"/>
        <v>26</v>
      </c>
      <c r="AA120" s="774">
        <f t="shared" si="13"/>
        <v>0.56310807615614422</v>
      </c>
      <c r="AB120" s="774">
        <f t="shared" si="15"/>
        <v>0.66518478761528033</v>
      </c>
      <c r="AC120" s="774">
        <f t="shared" si="14"/>
        <v>0.69222073259447026</v>
      </c>
      <c r="AE120" s="975"/>
      <c r="AF120" s="414"/>
      <c r="AY120">
        <f t="shared" si="6"/>
        <v>1992</v>
      </c>
      <c r="AZ120" s="414">
        <f t="shared" si="7"/>
        <v>1569573.0405643724</v>
      </c>
      <c r="BA120">
        <f t="shared" si="8"/>
        <v>130970.74130870457</v>
      </c>
      <c r="BB120" s="1152">
        <f t="shared" si="9"/>
        <v>1700543.7818730769</v>
      </c>
      <c r="BC120" s="1151">
        <f t="shared" si="10"/>
        <v>27</v>
      </c>
      <c r="BD120" s="1151">
        <f t="shared" si="11"/>
        <v>26</v>
      </c>
      <c r="BE120" s="1151">
        <f t="shared" si="17"/>
        <v>25</v>
      </c>
    </row>
    <row r="121" spans="1:57" ht="15.75">
      <c r="A121" s="666">
        <v>1993</v>
      </c>
      <c r="B121" s="1121">
        <f t="shared" si="16"/>
        <v>2040314.1080709202</v>
      </c>
      <c r="C121" s="671">
        <f t="shared" si="19"/>
        <v>11</v>
      </c>
      <c r="D121" s="975">
        <v>261904.99999999997</v>
      </c>
      <c r="E121" s="671">
        <f t="shared" si="20"/>
        <v>15</v>
      </c>
      <c r="F121" s="1120">
        <v>2302219.1080709202</v>
      </c>
      <c r="G121" s="671">
        <f t="shared" si="21"/>
        <v>13</v>
      </c>
      <c r="H121" s="6"/>
      <c r="I121" s="667">
        <f t="shared" si="2"/>
        <v>1993</v>
      </c>
      <c r="J121" s="670">
        <f t="shared" si="12"/>
        <v>1248572.0079182007</v>
      </c>
      <c r="K121" s="671">
        <f t="shared" si="22"/>
        <v>9</v>
      </c>
      <c r="L121" s="669">
        <v>149843.99208179928</v>
      </c>
      <c r="M121" s="671">
        <f t="shared" si="23"/>
        <v>16</v>
      </c>
      <c r="N121" s="669">
        <v>1398416</v>
      </c>
      <c r="O121" s="671">
        <f t="shared" si="24"/>
        <v>11</v>
      </c>
      <c r="P121" s="6"/>
      <c r="Q121" s="667">
        <f t="shared" si="3"/>
        <v>1993</v>
      </c>
      <c r="R121" s="946">
        <v>538602.10807092034</v>
      </c>
      <c r="S121" s="671">
        <f t="shared" si="25"/>
        <v>11</v>
      </c>
      <c r="T121" s="669">
        <v>57720</v>
      </c>
      <c r="U121" s="671">
        <f t="shared" si="26"/>
        <v>33</v>
      </c>
      <c r="V121" s="670">
        <f t="shared" si="18"/>
        <v>596322.10807092034</v>
      </c>
      <c r="W121" s="671">
        <f t="shared" si="27"/>
        <v>13</v>
      </c>
      <c r="X121" s="6"/>
      <c r="Y121" s="669">
        <v>788023.10807092034</v>
      </c>
      <c r="Z121" s="671">
        <f t="shared" si="28"/>
        <v>15</v>
      </c>
      <c r="AA121" s="774">
        <f t="shared" si="13"/>
        <v>0.61195087706309237</v>
      </c>
      <c r="AB121" s="774">
        <f t="shared" si="15"/>
        <v>0.57213108601133733</v>
      </c>
      <c r="AC121" s="774">
        <f t="shared" si="14"/>
        <v>0.70773024324439349</v>
      </c>
      <c r="AE121" s="975"/>
      <c r="AF121" s="414"/>
      <c r="AY121">
        <f t="shared" si="6"/>
        <v>1993</v>
      </c>
      <c r="AZ121" s="414">
        <f t="shared" si="7"/>
        <v>2040314.1080709202</v>
      </c>
      <c r="BA121">
        <f t="shared" si="8"/>
        <v>261904.99999999997</v>
      </c>
      <c r="BB121" s="1152">
        <f t="shared" si="9"/>
        <v>2302219.1080709202</v>
      </c>
      <c r="BC121" s="1151">
        <f t="shared" si="10"/>
        <v>13</v>
      </c>
      <c r="BD121" s="1151">
        <f t="shared" si="11"/>
        <v>11</v>
      </c>
      <c r="BE121" s="1151">
        <f t="shared" si="17"/>
        <v>15</v>
      </c>
    </row>
    <row r="122" spans="1:57" ht="15.75">
      <c r="A122" s="666">
        <v>1994</v>
      </c>
      <c r="B122" s="1121">
        <f t="shared" si="16"/>
        <v>1838664.2833961954</v>
      </c>
      <c r="C122" s="671">
        <f t="shared" si="19"/>
        <v>14</v>
      </c>
      <c r="D122" s="975">
        <v>176371.99999999997</v>
      </c>
      <c r="E122" s="671">
        <f t="shared" si="20"/>
        <v>20</v>
      </c>
      <c r="F122" s="1120">
        <v>2015036.2833961954</v>
      </c>
      <c r="G122" s="671">
        <f t="shared" si="21"/>
        <v>17</v>
      </c>
      <c r="H122" s="6"/>
      <c r="I122" s="667">
        <f t="shared" si="2"/>
        <v>1994</v>
      </c>
      <c r="J122" s="670">
        <f t="shared" si="12"/>
        <v>1059460.2481239352</v>
      </c>
      <c r="K122" s="671">
        <f t="shared" si="22"/>
        <v>17</v>
      </c>
      <c r="L122" s="669">
        <v>94655.751876064824</v>
      </c>
      <c r="M122" s="671">
        <f t="shared" si="23"/>
        <v>21</v>
      </c>
      <c r="N122" s="669">
        <v>1154116</v>
      </c>
      <c r="O122" s="671">
        <f t="shared" si="24"/>
        <v>21</v>
      </c>
      <c r="P122" s="6"/>
      <c r="Q122" s="667">
        <f t="shared" si="3"/>
        <v>1994</v>
      </c>
      <c r="R122" s="946">
        <v>461315.28339619539</v>
      </c>
      <c r="S122" s="671">
        <f t="shared" si="25"/>
        <v>22</v>
      </c>
      <c r="T122" s="669">
        <v>78370</v>
      </c>
      <c r="U122" s="671">
        <f t="shared" si="26"/>
        <v>14</v>
      </c>
      <c r="V122" s="670">
        <f t="shared" si="18"/>
        <v>539685.28339619539</v>
      </c>
      <c r="W122" s="671">
        <f t="shared" si="27"/>
        <v>22</v>
      </c>
      <c r="X122" s="6"/>
      <c r="Y122" s="669">
        <v>703706.28339619539</v>
      </c>
      <c r="Z122" s="671">
        <f t="shared" si="28"/>
        <v>16</v>
      </c>
      <c r="AA122" s="774">
        <f t="shared" si="13"/>
        <v>0.57621190431077884</v>
      </c>
      <c r="AB122" s="774">
        <f t="shared" si="15"/>
        <v>0.53668242054331095</v>
      </c>
      <c r="AC122" s="774">
        <f t="shared" si="14"/>
        <v>0.7064797047129544</v>
      </c>
      <c r="AE122" s="975"/>
      <c r="AF122" s="414"/>
      <c r="AY122">
        <f t="shared" si="6"/>
        <v>1994</v>
      </c>
      <c r="AZ122" s="414">
        <f t="shared" si="7"/>
        <v>1838664.2833961954</v>
      </c>
      <c r="BA122">
        <f t="shared" si="8"/>
        <v>176371.99999999997</v>
      </c>
      <c r="BB122" s="1152">
        <f t="shared" si="9"/>
        <v>2015036.2833961954</v>
      </c>
      <c r="BC122" s="1151">
        <f t="shared" si="10"/>
        <v>17</v>
      </c>
      <c r="BD122" s="1151">
        <f t="shared" si="11"/>
        <v>14</v>
      </c>
      <c r="BE122" s="1151">
        <f t="shared" si="17"/>
        <v>20</v>
      </c>
    </row>
    <row r="123" spans="1:57" ht="15.75">
      <c r="A123" s="666">
        <v>1995</v>
      </c>
      <c r="B123" s="1121">
        <f t="shared" si="16"/>
        <v>1776292.4214672782</v>
      </c>
      <c r="C123" s="671">
        <f t="shared" si="19"/>
        <v>19</v>
      </c>
      <c r="D123" s="975">
        <v>231274</v>
      </c>
      <c r="E123" s="671">
        <f t="shared" si="20"/>
        <v>18</v>
      </c>
      <c r="F123" s="1120">
        <v>2007566.4214672782</v>
      </c>
      <c r="G123" s="671">
        <f t="shared" si="21"/>
        <v>18</v>
      </c>
      <c r="H123" s="6"/>
      <c r="I123" s="667">
        <f t="shared" si="2"/>
        <v>1995</v>
      </c>
      <c r="J123" s="670">
        <f t="shared" si="12"/>
        <v>1123978.2161399317</v>
      </c>
      <c r="K123" s="671">
        <f t="shared" si="22"/>
        <v>15</v>
      </c>
      <c r="L123" s="669">
        <v>147843.78386006827</v>
      </c>
      <c r="M123" s="671">
        <f t="shared" si="23"/>
        <v>17</v>
      </c>
      <c r="N123" s="669">
        <v>1271822</v>
      </c>
      <c r="O123" s="671">
        <f t="shared" si="24"/>
        <v>15</v>
      </c>
      <c r="P123" s="6"/>
      <c r="Q123" s="667">
        <f t="shared" si="3"/>
        <v>1995</v>
      </c>
      <c r="R123" s="946">
        <v>376565.42146727804</v>
      </c>
      <c r="S123" s="671">
        <f t="shared" si="25"/>
        <v>31</v>
      </c>
      <c r="T123" s="669">
        <v>76370</v>
      </c>
      <c r="U123" s="671">
        <f t="shared" si="26"/>
        <v>17</v>
      </c>
      <c r="V123" s="670">
        <f t="shared" si="18"/>
        <v>452935.42146727804</v>
      </c>
      <c r="W123" s="671">
        <f t="shared" si="27"/>
        <v>31</v>
      </c>
      <c r="X123" s="6"/>
      <c r="Y123" s="669">
        <v>582312.42146727804</v>
      </c>
      <c r="Z123" s="671">
        <f t="shared" si="28"/>
        <v>25</v>
      </c>
      <c r="AA123" s="774">
        <f t="shared" si="13"/>
        <v>0.6327664311101926</v>
      </c>
      <c r="AB123" s="774">
        <f t="shared" si="15"/>
        <v>0.63925812611909805</v>
      </c>
      <c r="AC123" s="774">
        <f t="shared" si="14"/>
        <v>0.74501077863455722</v>
      </c>
      <c r="AE123" s="975" t="s">
        <v>621</v>
      </c>
      <c r="AF123" s="414"/>
      <c r="AY123">
        <f t="shared" si="6"/>
        <v>1995</v>
      </c>
      <c r="AZ123" s="414">
        <f t="shared" si="7"/>
        <v>1776292.4214672782</v>
      </c>
      <c r="BA123">
        <f t="shared" si="8"/>
        <v>231274</v>
      </c>
      <c r="BB123" s="1152">
        <f t="shared" si="9"/>
        <v>2007566.4214672782</v>
      </c>
      <c r="BC123" s="1151">
        <f t="shared" si="10"/>
        <v>18</v>
      </c>
      <c r="BD123" s="1151">
        <f t="shared" si="11"/>
        <v>19</v>
      </c>
      <c r="BE123" s="1151">
        <f t="shared" si="17"/>
        <v>18</v>
      </c>
    </row>
    <row r="124" spans="1:57" ht="15.75">
      <c r="A124" s="666">
        <v>1996</v>
      </c>
      <c r="B124" s="1141">
        <f t="shared" si="16"/>
        <v>2861367.3295118865</v>
      </c>
      <c r="C124" s="1142">
        <f t="shared" si="19"/>
        <v>2</v>
      </c>
      <c r="D124" s="1143">
        <v>480150</v>
      </c>
      <c r="E124" s="1142">
        <f t="shared" si="20"/>
        <v>5</v>
      </c>
      <c r="F124" s="1144">
        <v>3341517.3295118865</v>
      </c>
      <c r="G124" s="1142">
        <f t="shared" si="21"/>
        <v>2</v>
      </c>
      <c r="H124" s="1145"/>
      <c r="I124" s="1146">
        <f t="shared" si="2"/>
        <v>1996</v>
      </c>
      <c r="J124" s="1147">
        <f t="shared" si="12"/>
        <v>2042064</v>
      </c>
      <c r="K124" s="1142">
        <f t="shared" si="22"/>
        <v>2</v>
      </c>
      <c r="L124" s="1143">
        <v>314916</v>
      </c>
      <c r="M124" s="1142">
        <f t="shared" si="23"/>
        <v>9</v>
      </c>
      <c r="N124" s="1143">
        <v>2356980</v>
      </c>
      <c r="O124" s="1142">
        <f t="shared" si="24"/>
        <v>2</v>
      </c>
      <c r="P124" s="1145"/>
      <c r="Q124" s="1146">
        <f t="shared" si="3"/>
        <v>1996</v>
      </c>
      <c r="R124" s="1148">
        <v>546131.32951188635</v>
      </c>
      <c r="S124" s="1142">
        <f t="shared" si="25"/>
        <v>9</v>
      </c>
      <c r="T124" s="1143">
        <v>65470</v>
      </c>
      <c r="U124" s="1142">
        <f t="shared" si="26"/>
        <v>29</v>
      </c>
      <c r="V124" s="1147">
        <f t="shared" si="18"/>
        <v>611601.32951188635</v>
      </c>
      <c r="W124" s="1142">
        <f t="shared" si="27"/>
        <v>11</v>
      </c>
      <c r="X124" s="1145"/>
      <c r="Y124" s="1143">
        <v>853091.32951188635</v>
      </c>
      <c r="Z124" s="1142">
        <f t="shared" si="28"/>
        <v>9</v>
      </c>
      <c r="AA124" s="1149">
        <f t="shared" si="13"/>
        <v>0.71366719642680432</v>
      </c>
      <c r="AB124" s="1149">
        <f t="shared" si="15"/>
        <v>0.65587004061230869</v>
      </c>
      <c r="AC124" s="1149">
        <f t="shared" si="14"/>
        <v>0.78625556977467204</v>
      </c>
      <c r="AE124" s="1150">
        <f>RANK(B124,$B$124:$B$143)</f>
        <v>2</v>
      </c>
      <c r="AF124" s="414"/>
      <c r="AY124">
        <f t="shared" si="6"/>
        <v>1996</v>
      </c>
      <c r="AZ124" s="414">
        <f t="shared" si="7"/>
        <v>2861367.3295118865</v>
      </c>
      <c r="BA124">
        <f t="shared" si="8"/>
        <v>480150</v>
      </c>
      <c r="BB124" s="1152">
        <f t="shared" si="9"/>
        <v>3341517.3295118865</v>
      </c>
      <c r="BC124" s="1151">
        <f t="shared" si="10"/>
        <v>2</v>
      </c>
      <c r="BD124" s="1151">
        <f t="shared" si="11"/>
        <v>2</v>
      </c>
      <c r="BE124" s="1151">
        <f t="shared" si="17"/>
        <v>5</v>
      </c>
    </row>
    <row r="125" spans="1:57" ht="15.75">
      <c r="A125" s="666">
        <v>1997</v>
      </c>
      <c r="B125" s="1121">
        <f t="shared" si="16"/>
        <v>3827961.7069207383</v>
      </c>
      <c r="C125" s="671">
        <f t="shared" si="19"/>
        <v>1</v>
      </c>
      <c r="D125" s="975">
        <v>397283</v>
      </c>
      <c r="E125" s="671">
        <f t="shared" si="20"/>
        <v>12</v>
      </c>
      <c r="F125" s="1120">
        <v>4225244.7069207383</v>
      </c>
      <c r="G125" s="671">
        <f t="shared" si="21"/>
        <v>1</v>
      </c>
      <c r="H125" s="6"/>
      <c r="I125" s="667">
        <f t="shared" si="2"/>
        <v>1997</v>
      </c>
      <c r="J125" s="670">
        <f t="shared" si="12"/>
        <v>2689362</v>
      </c>
      <c r="K125" s="671">
        <f t="shared" si="22"/>
        <v>1</v>
      </c>
      <c r="L125" s="669">
        <v>266724</v>
      </c>
      <c r="M125" s="671">
        <f t="shared" si="23"/>
        <v>10</v>
      </c>
      <c r="N125" s="669">
        <v>2956086</v>
      </c>
      <c r="O125" s="671">
        <f t="shared" si="24"/>
        <v>1</v>
      </c>
      <c r="P125" s="6"/>
      <c r="Q125" s="667">
        <f t="shared" si="3"/>
        <v>1997</v>
      </c>
      <c r="R125" s="946">
        <v>756179.40971794142</v>
      </c>
      <c r="S125" s="671">
        <f t="shared" si="25"/>
        <v>4</v>
      </c>
      <c r="T125" s="669">
        <v>72562.6486013986</v>
      </c>
      <c r="U125" s="671">
        <f t="shared" si="26"/>
        <v>23</v>
      </c>
      <c r="V125" s="670">
        <f t="shared" si="18"/>
        <v>828742.05831933999</v>
      </c>
      <c r="W125" s="671">
        <f t="shared" si="27"/>
        <v>4</v>
      </c>
      <c r="X125" s="6"/>
      <c r="Y125" s="669">
        <v>1123272.4097179414</v>
      </c>
      <c r="Z125" s="671">
        <f t="shared" si="28"/>
        <v>4</v>
      </c>
      <c r="AA125" s="774">
        <f t="shared" si="13"/>
        <v>0.70255718471211082</v>
      </c>
      <c r="AB125" s="774">
        <f t="shared" si="15"/>
        <v>0.6713702826448652</v>
      </c>
      <c r="AC125" s="774">
        <f t="shared" si="14"/>
        <v>0.78350304371618418</v>
      </c>
      <c r="AE125" s="1150">
        <f t="shared" ref="AE125:AE143" si="29">RANK(B125,$B$124:$B$143)</f>
        <v>1</v>
      </c>
      <c r="AF125" s="414"/>
      <c r="AY125">
        <f t="shared" si="6"/>
        <v>1997</v>
      </c>
      <c r="AZ125" s="414">
        <f t="shared" si="7"/>
        <v>3827961.7069207383</v>
      </c>
      <c r="BA125">
        <f t="shared" si="8"/>
        <v>397283</v>
      </c>
      <c r="BB125" s="1152">
        <f t="shared" si="9"/>
        <v>4225244.7069207383</v>
      </c>
      <c r="BC125" s="1151">
        <f t="shared" si="10"/>
        <v>1</v>
      </c>
      <c r="BD125" s="1151">
        <f t="shared" si="11"/>
        <v>1</v>
      </c>
      <c r="BE125" s="1151">
        <f t="shared" si="17"/>
        <v>12</v>
      </c>
    </row>
    <row r="126" spans="1:57" ht="15.75">
      <c r="A126" s="666">
        <v>1998</v>
      </c>
      <c r="B126" s="1121">
        <f t="shared" si="16"/>
        <v>1644261.7972266297</v>
      </c>
      <c r="C126" s="671">
        <f t="shared" si="19"/>
        <v>23</v>
      </c>
      <c r="D126" s="975">
        <v>695756</v>
      </c>
      <c r="E126" s="671">
        <f t="shared" si="20"/>
        <v>2</v>
      </c>
      <c r="F126" s="1120">
        <v>2340017.7972266297</v>
      </c>
      <c r="G126" s="671">
        <f t="shared" si="21"/>
        <v>11</v>
      </c>
      <c r="H126" s="6"/>
      <c r="I126" s="667">
        <f t="shared" si="2"/>
        <v>1998</v>
      </c>
      <c r="J126" s="670">
        <f t="shared" si="12"/>
        <v>819761</v>
      </c>
      <c r="K126" s="671">
        <f t="shared" si="22"/>
        <v>26</v>
      </c>
      <c r="L126" s="669">
        <v>524985</v>
      </c>
      <c r="M126" s="671">
        <f t="shared" si="23"/>
        <v>2</v>
      </c>
      <c r="N126" s="669">
        <v>1344746</v>
      </c>
      <c r="O126" s="671">
        <f t="shared" si="24"/>
        <v>12</v>
      </c>
      <c r="P126" s="6"/>
      <c r="Q126" s="667">
        <f t="shared" si="3"/>
        <v>1998</v>
      </c>
      <c r="R126" s="946">
        <v>462395.79722662957</v>
      </c>
      <c r="S126" s="671">
        <f t="shared" si="25"/>
        <v>21</v>
      </c>
      <c r="T126" s="669">
        <v>87500</v>
      </c>
      <c r="U126" s="671">
        <f t="shared" si="26"/>
        <v>12</v>
      </c>
      <c r="V126" s="670">
        <f t="shared" si="18"/>
        <v>549895.79722662957</v>
      </c>
      <c r="W126" s="671">
        <f t="shared" si="27"/>
        <v>18</v>
      </c>
      <c r="X126" s="6"/>
      <c r="Y126" s="669">
        <v>819549.79722662957</v>
      </c>
      <c r="Z126" s="671">
        <f t="shared" si="28"/>
        <v>12</v>
      </c>
      <c r="AA126" s="774">
        <f t="shared" si="13"/>
        <v>0.49855868535210623</v>
      </c>
      <c r="AB126" s="774">
        <f t="shared" si="15"/>
        <v>0.7545533204169278</v>
      </c>
      <c r="AC126" s="774">
        <f t="shared" si="14"/>
        <v>0.66556676184161367</v>
      </c>
      <c r="AE126" s="1150">
        <f t="shared" si="29"/>
        <v>16</v>
      </c>
      <c r="AF126" s="414"/>
      <c r="AY126">
        <f t="shared" si="6"/>
        <v>1998</v>
      </c>
      <c r="AZ126" s="414">
        <f t="shared" si="7"/>
        <v>1644261.7972266297</v>
      </c>
      <c r="BA126">
        <f t="shared" si="8"/>
        <v>695756</v>
      </c>
      <c r="BB126" s="1152">
        <f t="shared" si="9"/>
        <v>2340017.7972266297</v>
      </c>
      <c r="BC126" s="1151">
        <f t="shared" si="10"/>
        <v>11</v>
      </c>
      <c r="BD126" s="1151">
        <f t="shared" si="11"/>
        <v>23</v>
      </c>
      <c r="BE126" s="1151">
        <f t="shared" si="17"/>
        <v>2</v>
      </c>
    </row>
    <row r="127" spans="1:57" ht="15.75">
      <c r="A127" s="666">
        <v>1999</v>
      </c>
      <c r="B127" s="1121">
        <f t="shared" si="16"/>
        <v>1681595</v>
      </c>
      <c r="C127" s="671">
        <f t="shared" si="19"/>
        <v>22</v>
      </c>
      <c r="D127" s="975">
        <v>1025599</v>
      </c>
      <c r="E127" s="671">
        <f t="shared" si="20"/>
        <v>1</v>
      </c>
      <c r="F127" s="1120">
        <v>2707194</v>
      </c>
      <c r="G127" s="671">
        <f t="shared" si="21"/>
        <v>9</v>
      </c>
      <c r="H127" s="6"/>
      <c r="I127" s="667">
        <f t="shared" si="2"/>
        <v>1999</v>
      </c>
      <c r="J127" s="670">
        <f t="shared" si="12"/>
        <v>740930.5</v>
      </c>
      <c r="K127" s="671">
        <f t="shared" si="22"/>
        <v>29</v>
      </c>
      <c r="L127" s="669">
        <v>945286.5</v>
      </c>
      <c r="M127" s="671">
        <f t="shared" si="23"/>
        <v>1</v>
      </c>
      <c r="N127" s="669">
        <v>1686217</v>
      </c>
      <c r="O127" s="671">
        <f t="shared" si="24"/>
        <v>8</v>
      </c>
      <c r="P127" s="6"/>
      <c r="Q127" s="667">
        <f t="shared" si="3"/>
        <v>1999</v>
      </c>
      <c r="R127" s="946">
        <v>449892</v>
      </c>
      <c r="S127" s="671">
        <f t="shared" si="25"/>
        <v>23</v>
      </c>
      <c r="T127" s="669">
        <v>100925</v>
      </c>
      <c r="U127" s="671">
        <f t="shared" si="26"/>
        <v>7</v>
      </c>
      <c r="V127" s="670">
        <f t="shared" si="18"/>
        <v>550817</v>
      </c>
      <c r="W127" s="671">
        <f t="shared" si="27"/>
        <v>17</v>
      </c>
      <c r="X127" s="6"/>
      <c r="Y127" s="669">
        <v>818507</v>
      </c>
      <c r="Z127" s="671">
        <f t="shared" si="28"/>
        <v>13</v>
      </c>
      <c r="AA127" s="774">
        <f t="shared" si="13"/>
        <v>0.44061174063909564</v>
      </c>
      <c r="AB127" s="774">
        <f t="shared" si="15"/>
        <v>0.92169210383395461</v>
      </c>
      <c r="AC127" s="774">
        <f t="shared" si="14"/>
        <v>0.67244372158575638</v>
      </c>
      <c r="AE127" s="1150">
        <f t="shared" si="29"/>
        <v>15</v>
      </c>
      <c r="AF127" s="414"/>
      <c r="AY127">
        <f t="shared" si="6"/>
        <v>1999</v>
      </c>
      <c r="AZ127" s="414">
        <f t="shared" si="7"/>
        <v>1681595</v>
      </c>
      <c r="BA127">
        <f t="shared" si="8"/>
        <v>1025599</v>
      </c>
      <c r="BB127" s="1152">
        <f t="shared" si="9"/>
        <v>2707194</v>
      </c>
      <c r="BC127" s="1151">
        <f t="shared" si="10"/>
        <v>9</v>
      </c>
      <c r="BD127" s="1151">
        <f t="shared" si="11"/>
        <v>22</v>
      </c>
      <c r="BE127" s="1151">
        <f t="shared" si="17"/>
        <v>1</v>
      </c>
    </row>
    <row r="128" spans="1:57" ht="15.75">
      <c r="A128" s="666">
        <v>2000</v>
      </c>
      <c r="B128" s="1121">
        <f t="shared" si="16"/>
        <v>1200684</v>
      </c>
      <c r="C128" s="671">
        <f t="shared" si="19"/>
        <v>33</v>
      </c>
      <c r="D128" s="975">
        <v>481060</v>
      </c>
      <c r="E128" s="671">
        <f t="shared" si="20"/>
        <v>4</v>
      </c>
      <c r="F128" s="1120">
        <v>1681744</v>
      </c>
      <c r="G128" s="671">
        <f t="shared" si="21"/>
        <v>28</v>
      </c>
      <c r="H128" s="6"/>
      <c r="I128" s="667">
        <f t="shared" si="2"/>
        <v>2000</v>
      </c>
      <c r="J128" s="670">
        <f t="shared" si="12"/>
        <v>516133</v>
      </c>
      <c r="K128" s="671">
        <f t="shared" si="22"/>
        <v>31</v>
      </c>
      <c r="L128" s="669">
        <v>366372</v>
      </c>
      <c r="M128" s="671">
        <f t="shared" si="23"/>
        <v>6</v>
      </c>
      <c r="N128" s="669">
        <v>882505</v>
      </c>
      <c r="O128" s="671">
        <f t="shared" si="24"/>
        <v>28</v>
      </c>
      <c r="P128" s="6"/>
      <c r="Q128" s="667">
        <f t="shared" si="3"/>
        <v>2000</v>
      </c>
      <c r="R128" s="946">
        <v>343691</v>
      </c>
      <c r="S128" s="671">
        <f t="shared" si="25"/>
        <v>33</v>
      </c>
      <c r="T128" s="669">
        <v>98045</v>
      </c>
      <c r="U128" s="671">
        <f t="shared" si="26"/>
        <v>9</v>
      </c>
      <c r="V128" s="670">
        <f t="shared" si="18"/>
        <v>441736</v>
      </c>
      <c r="W128" s="671">
        <f t="shared" si="27"/>
        <v>34</v>
      </c>
      <c r="X128" s="6"/>
      <c r="Y128" s="669">
        <v>598790</v>
      </c>
      <c r="Z128" s="671">
        <f t="shared" si="28"/>
        <v>22</v>
      </c>
      <c r="AA128" s="774">
        <f t="shared" si="13"/>
        <v>0.42986580982173495</v>
      </c>
      <c r="AB128" s="774">
        <f t="shared" si="15"/>
        <v>0.7615931484638091</v>
      </c>
      <c r="AC128" s="774">
        <f t="shared" si="14"/>
        <v>0.63209637173477784</v>
      </c>
      <c r="AE128" s="1150">
        <f t="shared" si="29"/>
        <v>19</v>
      </c>
      <c r="AF128" s="414"/>
      <c r="AY128">
        <f t="shared" si="6"/>
        <v>2000</v>
      </c>
      <c r="AZ128" s="414">
        <f t="shared" si="7"/>
        <v>1200684</v>
      </c>
      <c r="BA128">
        <f t="shared" si="8"/>
        <v>481060</v>
      </c>
      <c r="BB128" s="1152">
        <f t="shared" si="9"/>
        <v>1681744</v>
      </c>
      <c r="BC128" s="1151">
        <f t="shared" si="10"/>
        <v>28</v>
      </c>
      <c r="BD128" s="1151">
        <f t="shared" si="11"/>
        <v>38</v>
      </c>
      <c r="BE128" s="1151">
        <f t="shared" si="17"/>
        <v>4</v>
      </c>
    </row>
    <row r="129" spans="1:57" ht="15.75">
      <c r="A129" s="666">
        <v>2001</v>
      </c>
      <c r="B129" s="1121">
        <f t="shared" si="16"/>
        <v>2004403</v>
      </c>
      <c r="C129" s="671">
        <f t="shared" si="19"/>
        <v>12</v>
      </c>
      <c r="D129" s="975">
        <v>307183</v>
      </c>
      <c r="E129" s="671">
        <f t="shared" si="20"/>
        <v>14</v>
      </c>
      <c r="F129" s="1120">
        <v>2311586</v>
      </c>
      <c r="G129" s="671">
        <f t="shared" si="21"/>
        <v>12</v>
      </c>
      <c r="H129" s="6"/>
      <c r="I129" s="667">
        <f t="shared" si="2"/>
        <v>2001</v>
      </c>
      <c r="J129" s="670">
        <f t="shared" si="12"/>
        <v>1131631</v>
      </c>
      <c r="K129" s="671">
        <f t="shared" si="22"/>
        <v>14</v>
      </c>
      <c r="L129" s="669">
        <v>196326</v>
      </c>
      <c r="M129" s="671">
        <f t="shared" si="23"/>
        <v>13</v>
      </c>
      <c r="N129" s="669">
        <v>1327957</v>
      </c>
      <c r="O129" s="671">
        <f t="shared" si="24"/>
        <v>14</v>
      </c>
      <c r="P129" s="6"/>
      <c r="Q129" s="667">
        <f t="shared" si="3"/>
        <v>2001</v>
      </c>
      <c r="R129" s="946">
        <v>538681</v>
      </c>
      <c r="S129" s="671">
        <f t="shared" si="25"/>
        <v>10</v>
      </c>
      <c r="T129" s="669">
        <v>71065</v>
      </c>
      <c r="U129" s="671">
        <f t="shared" si="26"/>
        <v>24</v>
      </c>
      <c r="V129" s="670">
        <f t="shared" si="18"/>
        <v>609746</v>
      </c>
      <c r="W129" s="671">
        <f t="shared" si="27"/>
        <v>12</v>
      </c>
      <c r="X129" s="6"/>
      <c r="Y129" s="669">
        <v>838427</v>
      </c>
      <c r="Z129" s="671">
        <f t="shared" si="28"/>
        <v>10</v>
      </c>
      <c r="AA129" s="774">
        <f t="shared" si="13"/>
        <v>0.56457259343555166</v>
      </c>
      <c r="AB129" s="774">
        <f t="shared" si="15"/>
        <v>0.63911739907481857</v>
      </c>
      <c r="AC129" s="774">
        <f t="shared" si="14"/>
        <v>0.69579670355711898</v>
      </c>
      <c r="AE129" s="1150">
        <f t="shared" si="29"/>
        <v>11</v>
      </c>
      <c r="AF129" s="414"/>
      <c r="AY129">
        <f t="shared" si="6"/>
        <v>2001</v>
      </c>
      <c r="AZ129" s="414">
        <f t="shared" si="7"/>
        <v>2004403</v>
      </c>
      <c r="BA129">
        <f t="shared" si="8"/>
        <v>307183</v>
      </c>
      <c r="BB129" s="1152">
        <f t="shared" si="9"/>
        <v>2311586</v>
      </c>
      <c r="BC129" s="1151">
        <f t="shared" si="10"/>
        <v>12</v>
      </c>
      <c r="BD129" s="1151">
        <f t="shared" si="11"/>
        <v>12</v>
      </c>
      <c r="BE129" s="1151">
        <f t="shared" si="17"/>
        <v>14</v>
      </c>
    </row>
    <row r="130" spans="1:57" ht="15.75">
      <c r="A130" s="666">
        <v>2002</v>
      </c>
      <c r="B130" s="1121">
        <f t="shared" si="16"/>
        <v>1777856.5</v>
      </c>
      <c r="C130" s="671">
        <f t="shared" si="19"/>
        <v>18</v>
      </c>
      <c r="D130" s="975">
        <v>425128.5</v>
      </c>
      <c r="E130" s="671">
        <f t="shared" si="20"/>
        <v>11</v>
      </c>
      <c r="F130" s="1120">
        <v>2202985</v>
      </c>
      <c r="G130" s="671">
        <f t="shared" si="21"/>
        <v>15</v>
      </c>
      <c r="H130" s="6"/>
      <c r="I130" s="667">
        <f t="shared" si="2"/>
        <v>2002</v>
      </c>
      <c r="J130" s="670">
        <f t="shared" si="12"/>
        <v>915571.88839152933</v>
      </c>
      <c r="K130" s="671">
        <f t="shared" si="22"/>
        <v>20</v>
      </c>
      <c r="L130" s="669">
        <v>335451.11160847067</v>
      </c>
      <c r="M130" s="671">
        <f t="shared" si="23"/>
        <v>8</v>
      </c>
      <c r="N130" s="669">
        <v>1251023</v>
      </c>
      <c r="O130" s="671">
        <f t="shared" si="24"/>
        <v>16</v>
      </c>
      <c r="P130" s="6"/>
      <c r="Q130" s="667">
        <f t="shared" si="3"/>
        <v>2002</v>
      </c>
      <c r="R130" s="946">
        <v>581717</v>
      </c>
      <c r="S130" s="671">
        <f t="shared" si="25"/>
        <v>7</v>
      </c>
      <c r="T130" s="669">
        <v>75735</v>
      </c>
      <c r="U130" s="671">
        <f t="shared" si="26"/>
        <v>18</v>
      </c>
      <c r="V130" s="670">
        <f t="shared" si="18"/>
        <v>657452</v>
      </c>
      <c r="W130" s="671">
        <f t="shared" si="27"/>
        <v>9</v>
      </c>
      <c r="X130" s="6"/>
      <c r="Y130" s="669">
        <v>797390</v>
      </c>
      <c r="Z130" s="671">
        <f t="shared" si="28"/>
        <v>14</v>
      </c>
      <c r="AA130" s="774">
        <f t="shared" si="13"/>
        <v>0.51498638297946397</v>
      </c>
      <c r="AB130" s="774">
        <f t="shared" si="15"/>
        <v>0.7890581591412259</v>
      </c>
      <c r="AC130" s="774">
        <f t="shared" si="14"/>
        <v>0.63019962522284556</v>
      </c>
      <c r="AE130" s="1150">
        <f t="shared" si="29"/>
        <v>13</v>
      </c>
      <c r="AF130" s="414"/>
      <c r="AY130">
        <f t="shared" si="6"/>
        <v>2002</v>
      </c>
      <c r="AZ130" s="414">
        <f t="shared" si="7"/>
        <v>1777856.5</v>
      </c>
      <c r="BA130">
        <f t="shared" si="8"/>
        <v>425128.5</v>
      </c>
      <c r="BB130" s="1152">
        <f t="shared" si="9"/>
        <v>2202985</v>
      </c>
      <c r="BC130" s="1151">
        <f t="shared" si="10"/>
        <v>15</v>
      </c>
      <c r="BD130" s="1151">
        <f t="shared" si="11"/>
        <v>18</v>
      </c>
      <c r="BE130" s="1151">
        <f t="shared" si="17"/>
        <v>11</v>
      </c>
    </row>
    <row r="131" spans="1:57" ht="15.75">
      <c r="A131" s="666">
        <v>2003</v>
      </c>
      <c r="B131" s="1121">
        <f t="shared" si="16"/>
        <v>1805186.5</v>
      </c>
      <c r="C131" s="671">
        <f t="shared" si="19"/>
        <v>16</v>
      </c>
      <c r="D131" s="975">
        <v>241459.5</v>
      </c>
      <c r="E131" s="671">
        <f t="shared" si="20"/>
        <v>16</v>
      </c>
      <c r="F131" s="1120">
        <v>2046646</v>
      </c>
      <c r="G131" s="671">
        <f t="shared" si="21"/>
        <v>16</v>
      </c>
      <c r="H131" s="6"/>
      <c r="I131" s="667">
        <f t="shared" si="2"/>
        <v>2003</v>
      </c>
      <c r="J131" s="670">
        <f t="shared" si="12"/>
        <v>1058366.5</v>
      </c>
      <c r="K131" s="671">
        <f t="shared" si="22"/>
        <v>18</v>
      </c>
      <c r="L131" s="669">
        <v>138055.5</v>
      </c>
      <c r="M131" s="671">
        <f t="shared" si="23"/>
        <v>18</v>
      </c>
      <c r="N131" s="669">
        <v>1196422</v>
      </c>
      <c r="O131" s="671">
        <f t="shared" si="24"/>
        <v>18</v>
      </c>
      <c r="P131" s="6"/>
      <c r="Q131" s="667">
        <f t="shared" si="3"/>
        <v>2003</v>
      </c>
      <c r="R131" s="946">
        <v>507895</v>
      </c>
      <c r="S131" s="671">
        <f t="shared" si="25"/>
        <v>13</v>
      </c>
      <c r="T131" s="669">
        <v>73150</v>
      </c>
      <c r="U131" s="671">
        <f t="shared" si="26"/>
        <v>22</v>
      </c>
      <c r="V131" s="670">
        <f t="shared" si="18"/>
        <v>581045</v>
      </c>
      <c r="W131" s="671">
        <f t="shared" si="27"/>
        <v>15</v>
      </c>
      <c r="X131" s="6"/>
      <c r="Y131" s="669">
        <v>702327</v>
      </c>
      <c r="Z131" s="671">
        <f t="shared" si="28"/>
        <v>17</v>
      </c>
      <c r="AA131" s="774">
        <f t="shared" si="13"/>
        <v>0.58629205348034674</v>
      </c>
      <c r="AB131" s="774">
        <f t="shared" si="15"/>
        <v>0.57175426934951823</v>
      </c>
      <c r="AC131" s="774">
        <f t="shared" si="14"/>
        <v>0.67812467022105472</v>
      </c>
      <c r="AE131" s="1150">
        <f t="shared" si="29"/>
        <v>12</v>
      </c>
      <c r="AF131" s="414"/>
      <c r="AY131">
        <f t="shared" si="6"/>
        <v>2003</v>
      </c>
      <c r="AZ131" s="414">
        <f t="shared" si="7"/>
        <v>1805186.5</v>
      </c>
      <c r="BA131">
        <f t="shared" si="8"/>
        <v>241459.5</v>
      </c>
      <c r="BB131" s="1152">
        <f t="shared" si="9"/>
        <v>2046646</v>
      </c>
      <c r="BC131" s="1151">
        <f t="shared" si="10"/>
        <v>16</v>
      </c>
      <c r="BD131" s="1151">
        <f t="shared" si="11"/>
        <v>16</v>
      </c>
      <c r="BE131" s="1151">
        <f t="shared" si="17"/>
        <v>16</v>
      </c>
    </row>
    <row r="132" spans="1:57" ht="15.75">
      <c r="A132" s="666">
        <v>2004</v>
      </c>
      <c r="B132" s="1121">
        <f t="shared" si="16"/>
        <v>1756052.7574119794</v>
      </c>
      <c r="C132" s="671">
        <f t="shared" si="19"/>
        <v>20</v>
      </c>
      <c r="D132" s="975">
        <v>77156.24258802073</v>
      </c>
      <c r="E132" s="671">
        <f t="shared" si="20"/>
        <v>29</v>
      </c>
      <c r="F132" s="1120">
        <v>1833209</v>
      </c>
      <c r="G132" s="671">
        <f t="shared" si="21"/>
        <v>21</v>
      </c>
      <c r="H132" s="6"/>
      <c r="I132" s="667">
        <f t="shared" si="2"/>
        <v>2004</v>
      </c>
      <c r="J132" s="670">
        <f>N132-L132</f>
        <v>989588</v>
      </c>
      <c r="K132" s="671">
        <f t="shared" si="22"/>
        <v>19</v>
      </c>
      <c r="L132" s="669">
        <v>59540</v>
      </c>
      <c r="M132" s="671">
        <f t="shared" si="23"/>
        <v>27</v>
      </c>
      <c r="N132" s="669">
        <v>1049128</v>
      </c>
      <c r="O132" s="671">
        <f t="shared" si="24"/>
        <v>22</v>
      </c>
      <c r="P132" s="6"/>
      <c r="Q132" s="667">
        <f t="shared" si="3"/>
        <v>2004</v>
      </c>
      <c r="R132" s="946">
        <v>448534</v>
      </c>
      <c r="S132" s="671">
        <f t="shared" si="25"/>
        <v>24</v>
      </c>
      <c r="T132" s="669">
        <v>69385</v>
      </c>
      <c r="U132" s="671">
        <f t="shared" si="26"/>
        <v>25</v>
      </c>
      <c r="V132" s="670">
        <f t="shared" si="18"/>
        <v>517919</v>
      </c>
      <c r="W132" s="671">
        <f t="shared" si="27"/>
        <v>25</v>
      </c>
      <c r="X132" s="6"/>
      <c r="Y132" s="669">
        <v>643539</v>
      </c>
      <c r="Z132" s="671">
        <f t="shared" si="28"/>
        <v>20</v>
      </c>
      <c r="AA132" s="774">
        <f t="shared" si="13"/>
        <v>0.5635297663029365</v>
      </c>
      <c r="AB132" s="774">
        <f t="shared" si="15"/>
        <v>0.77168091657750293</v>
      </c>
      <c r="AC132" s="774">
        <f t="shared" si="14"/>
        <v>0.70506637809487327</v>
      </c>
      <c r="AE132" s="1150">
        <f t="shared" si="29"/>
        <v>14</v>
      </c>
      <c r="AF132" s="414"/>
      <c r="AY132">
        <f t="shared" si="6"/>
        <v>2004</v>
      </c>
      <c r="AZ132" s="414">
        <f t="shared" si="7"/>
        <v>1756052.7574119794</v>
      </c>
      <c r="BA132">
        <f t="shared" si="8"/>
        <v>77156.24258802073</v>
      </c>
      <c r="BB132" s="1152">
        <f t="shared" si="9"/>
        <v>1833209</v>
      </c>
      <c r="BC132" s="1151">
        <f t="shared" si="10"/>
        <v>21</v>
      </c>
      <c r="BD132" s="1151">
        <f t="shared" si="11"/>
        <v>20</v>
      </c>
      <c r="BE132" s="1151">
        <f t="shared" si="17"/>
        <v>29</v>
      </c>
    </row>
    <row r="133" spans="1:57" ht="15.75">
      <c r="A133" s="666">
        <v>2005</v>
      </c>
      <c r="B133" s="1121">
        <f t="shared" si="16"/>
        <v>2070778.300560507</v>
      </c>
      <c r="C133" s="671">
        <f t="shared" si="19"/>
        <v>10</v>
      </c>
      <c r="D133" s="975">
        <v>208365.99999999997</v>
      </c>
      <c r="E133" s="671">
        <f t="shared" si="20"/>
        <v>19</v>
      </c>
      <c r="F133" s="1120">
        <v>2279144.300560507</v>
      </c>
      <c r="G133" s="671">
        <f t="shared" si="21"/>
        <v>14</v>
      </c>
      <c r="H133" s="6"/>
      <c r="I133" s="667">
        <f t="shared" si="2"/>
        <v>2005</v>
      </c>
      <c r="J133" s="670">
        <f t="shared" si="12"/>
        <v>1240866</v>
      </c>
      <c r="K133" s="671">
        <f t="shared" si="22"/>
        <v>11</v>
      </c>
      <c r="L133" s="669">
        <v>95897</v>
      </c>
      <c r="M133" s="671">
        <f t="shared" si="23"/>
        <v>20</v>
      </c>
      <c r="N133" s="669">
        <v>1336763</v>
      </c>
      <c r="O133" s="671">
        <f t="shared" si="24"/>
        <v>13</v>
      </c>
      <c r="P133" s="6"/>
      <c r="Q133" s="667">
        <f t="shared" si="3"/>
        <v>2005</v>
      </c>
      <c r="R133" s="946">
        <v>515599.30056050722</v>
      </c>
      <c r="S133" s="671">
        <f t="shared" si="25"/>
        <v>12</v>
      </c>
      <c r="T133" s="669">
        <v>58406</v>
      </c>
      <c r="U133" s="671">
        <f t="shared" si="26"/>
        <v>32</v>
      </c>
      <c r="V133" s="670">
        <f t="shared" si="18"/>
        <v>574005.30056050722</v>
      </c>
      <c r="W133" s="671">
        <f t="shared" si="27"/>
        <v>16</v>
      </c>
      <c r="X133" s="6"/>
      <c r="Y133" s="669">
        <v>824792.30056050722</v>
      </c>
      <c r="Z133" s="671">
        <f t="shared" si="28"/>
        <v>11</v>
      </c>
      <c r="AA133" s="774">
        <f t="shared" si="13"/>
        <v>0.59922687023720944</v>
      </c>
      <c r="AB133" s="774">
        <f t="shared" si="15"/>
        <v>0.46023343539732975</v>
      </c>
      <c r="AC133" s="774">
        <f t="shared" si="14"/>
        <v>0.72280697532655303</v>
      </c>
      <c r="AE133" s="1150">
        <f t="shared" si="29"/>
        <v>10</v>
      </c>
      <c r="AF133" s="414"/>
      <c r="AY133">
        <f t="shared" si="6"/>
        <v>2005</v>
      </c>
      <c r="AZ133" s="414">
        <f t="shared" si="7"/>
        <v>2070778.300560507</v>
      </c>
      <c r="BA133">
        <f t="shared" si="8"/>
        <v>208365.99999999997</v>
      </c>
      <c r="BB133" s="1152">
        <f t="shared" si="9"/>
        <v>2279144.300560507</v>
      </c>
      <c r="BC133" s="1151">
        <f t="shared" si="10"/>
        <v>14</v>
      </c>
      <c r="BD133" s="1151">
        <f t="shared" si="11"/>
        <v>10</v>
      </c>
      <c r="BE133" s="1151">
        <f t="shared" si="17"/>
        <v>19</v>
      </c>
    </row>
    <row r="134" spans="1:57" ht="15.75">
      <c r="A134" s="666">
        <v>2006</v>
      </c>
      <c r="B134" s="1121">
        <f t="shared" si="16"/>
        <v>2242510</v>
      </c>
      <c r="C134" s="671">
        <f t="shared" si="19"/>
        <v>9</v>
      </c>
      <c r="D134" s="975">
        <v>351878</v>
      </c>
      <c r="E134" s="671">
        <f t="shared" si="20"/>
        <v>13</v>
      </c>
      <c r="F134" s="1120">
        <v>2594388</v>
      </c>
      <c r="G134" s="671">
        <f t="shared" si="21"/>
        <v>10</v>
      </c>
      <c r="H134" s="6"/>
      <c r="I134" s="667">
        <f t="shared" si="2"/>
        <v>2006</v>
      </c>
      <c r="J134" s="670">
        <f t="shared" si="12"/>
        <v>1336612</v>
      </c>
      <c r="K134" s="671">
        <f t="shared" si="22"/>
        <v>8</v>
      </c>
      <c r="L134" s="669">
        <v>163691</v>
      </c>
      <c r="M134" s="671">
        <f t="shared" si="23"/>
        <v>15</v>
      </c>
      <c r="N134" s="669">
        <v>1500303</v>
      </c>
      <c r="O134" s="671">
        <f t="shared" si="24"/>
        <v>10</v>
      </c>
      <c r="P134" s="6"/>
      <c r="Q134" s="667">
        <f t="shared" si="3"/>
        <v>2006</v>
      </c>
      <c r="R134" s="946">
        <v>579552</v>
      </c>
      <c r="S134" s="671">
        <f t="shared" si="25"/>
        <v>8</v>
      </c>
      <c r="T134" s="669">
        <v>98896</v>
      </c>
      <c r="U134" s="671">
        <f>RANK(T134,T$108:T$143)</f>
        <v>8</v>
      </c>
      <c r="V134" s="670">
        <f t="shared" si="18"/>
        <v>678448</v>
      </c>
      <c r="W134" s="671">
        <f t="shared" si="27"/>
        <v>7</v>
      </c>
      <c r="X134" s="6"/>
      <c r="Y134" s="669">
        <v>891917</v>
      </c>
      <c r="Z134" s="671">
        <f t="shared" si="28"/>
        <v>6</v>
      </c>
      <c r="AA134" s="774">
        <f t="shared" si="13"/>
        <v>0.59603390843296133</v>
      </c>
      <c r="AB134" s="774">
        <f t="shared" si="15"/>
        <v>0.46519248148506015</v>
      </c>
      <c r="AC134" s="774">
        <f t="shared" si="14"/>
        <v>0.69746043495904142</v>
      </c>
      <c r="AE134" s="1150">
        <f t="shared" si="29"/>
        <v>9</v>
      </c>
      <c r="AF134" s="414"/>
      <c r="AY134">
        <f t="shared" si="6"/>
        <v>2006</v>
      </c>
      <c r="AZ134" s="414">
        <f t="shared" si="7"/>
        <v>2242510</v>
      </c>
      <c r="BA134">
        <f t="shared" si="8"/>
        <v>351878</v>
      </c>
      <c r="BB134" s="1152">
        <f t="shared" si="9"/>
        <v>2594388</v>
      </c>
      <c r="BC134" s="1151">
        <f t="shared" si="10"/>
        <v>10</v>
      </c>
      <c r="BD134" s="1151">
        <f t="shared" si="11"/>
        <v>9</v>
      </c>
      <c r="BE134" s="1151">
        <f t="shared" si="17"/>
        <v>13</v>
      </c>
    </row>
    <row r="135" spans="1:57" ht="15.75">
      <c r="A135" s="666">
        <v>2007</v>
      </c>
      <c r="B135" s="1121">
        <f t="shared" si="16"/>
        <v>2823143</v>
      </c>
      <c r="C135" s="671">
        <f t="shared" si="19"/>
        <v>4</v>
      </c>
      <c r="D135" s="975">
        <v>139843</v>
      </c>
      <c r="E135" s="671">
        <f t="shared" si="20"/>
        <v>22</v>
      </c>
      <c r="F135" s="1120">
        <v>2962986</v>
      </c>
      <c r="G135" s="671">
        <f t="shared" si="21"/>
        <v>8</v>
      </c>
      <c r="H135" s="6"/>
      <c r="I135" s="667">
        <f t="shared" si="2"/>
        <v>2007</v>
      </c>
      <c r="J135" s="670">
        <f t="shared" si="12"/>
        <v>1812719</v>
      </c>
      <c r="K135" s="671">
        <f t="shared" si="22"/>
        <v>4</v>
      </c>
      <c r="L135" s="669">
        <v>94232</v>
      </c>
      <c r="M135" s="671">
        <f t="shared" si="23"/>
        <v>22</v>
      </c>
      <c r="N135" s="944">
        <v>1906951</v>
      </c>
      <c r="O135" s="671">
        <f t="shared" si="24"/>
        <v>6</v>
      </c>
      <c r="P135" s="6"/>
      <c r="Q135" s="667">
        <f t="shared" si="3"/>
        <v>2007</v>
      </c>
      <c r="R135" s="946">
        <v>612083</v>
      </c>
      <c r="S135" s="671">
        <f t="shared" si="25"/>
        <v>5</v>
      </c>
      <c r="T135" s="669">
        <v>88285</v>
      </c>
      <c r="U135" s="671">
        <f t="shared" si="26"/>
        <v>11</v>
      </c>
      <c r="V135" s="670">
        <f t="shared" ref="V135:V142" si="30">T135+R135</f>
        <v>700368</v>
      </c>
      <c r="W135" s="671">
        <f t="shared" si="27"/>
        <v>5</v>
      </c>
      <c r="X135" s="6"/>
      <c r="Y135" s="669">
        <v>873252</v>
      </c>
      <c r="Z135" s="671">
        <f t="shared" si="28"/>
        <v>8</v>
      </c>
      <c r="AA135" s="774">
        <f t="shared" si="13"/>
        <v>0.64209251886992613</v>
      </c>
      <c r="AB135" s="774">
        <f t="shared" si="15"/>
        <v>0.67384137926102838</v>
      </c>
      <c r="AC135" s="774">
        <f t="shared" si="14"/>
        <v>0.75191904908819707</v>
      </c>
      <c r="AE135" s="1150">
        <f t="shared" si="29"/>
        <v>4</v>
      </c>
      <c r="AF135" s="414"/>
      <c r="AY135">
        <f t="shared" si="6"/>
        <v>2007</v>
      </c>
      <c r="AZ135" s="414">
        <f t="shared" si="7"/>
        <v>2823143</v>
      </c>
      <c r="BA135">
        <f t="shared" si="8"/>
        <v>139843</v>
      </c>
      <c r="BB135" s="1152">
        <f t="shared" si="9"/>
        <v>2962986</v>
      </c>
      <c r="BC135" s="1151">
        <f t="shared" si="10"/>
        <v>8</v>
      </c>
      <c r="BD135" s="1151">
        <f t="shared" si="11"/>
        <v>4</v>
      </c>
      <c r="BE135" s="1151">
        <f t="shared" si="17"/>
        <v>22</v>
      </c>
    </row>
    <row r="136" spans="1:57" ht="15.75">
      <c r="A136" s="666">
        <v>2008</v>
      </c>
      <c r="B136" s="1121">
        <f t="shared" si="16"/>
        <v>1056178</v>
      </c>
      <c r="C136" s="671">
        <f t="shared" si="19"/>
        <v>34</v>
      </c>
      <c r="D136" s="805">
        <v>85937</v>
      </c>
      <c r="E136" s="671">
        <f t="shared" si="20"/>
        <v>27</v>
      </c>
      <c r="F136" s="1120">
        <v>1142115</v>
      </c>
      <c r="G136" s="671">
        <f t="shared" si="21"/>
        <v>35</v>
      </c>
      <c r="H136" s="6"/>
      <c r="I136" s="667">
        <f t="shared" si="2"/>
        <v>2008</v>
      </c>
      <c r="J136" s="670">
        <f t="shared" ref="J136:J140" si="31">N136-L136</f>
        <v>303537</v>
      </c>
      <c r="K136" s="671">
        <f t="shared" si="22"/>
        <v>35</v>
      </c>
      <c r="L136" s="669">
        <v>21699</v>
      </c>
      <c r="M136" s="671">
        <f t="shared" si="23"/>
        <v>31</v>
      </c>
      <c r="N136" s="944">
        <v>325236</v>
      </c>
      <c r="O136" s="671">
        <f t="shared" si="24"/>
        <v>35</v>
      </c>
      <c r="P136" s="6"/>
      <c r="Q136" s="667">
        <f t="shared" si="3"/>
        <v>2008</v>
      </c>
      <c r="R136" s="946">
        <v>480597</v>
      </c>
      <c r="S136" s="671">
        <f t="shared" si="25"/>
        <v>16</v>
      </c>
      <c r="T136" s="669">
        <v>67950</v>
      </c>
      <c r="U136" s="671">
        <f t="shared" si="26"/>
        <v>27</v>
      </c>
      <c r="V136" s="670">
        <f t="shared" si="30"/>
        <v>548547</v>
      </c>
      <c r="W136" s="671">
        <f t="shared" si="27"/>
        <v>20</v>
      </c>
      <c r="X136" s="6"/>
      <c r="Y136" s="669">
        <v>677001</v>
      </c>
      <c r="Z136" s="671">
        <f t="shared" si="28"/>
        <v>19</v>
      </c>
      <c r="AA136" s="774">
        <f t="shared" si="13"/>
        <v>0.28739189795659442</v>
      </c>
      <c r="AB136" s="774">
        <f t="shared" si="15"/>
        <v>0.25249892363010112</v>
      </c>
      <c r="AC136" s="774">
        <f t="shared" si="14"/>
        <v>0.48063015893154376</v>
      </c>
      <c r="AE136" s="1150">
        <f t="shared" si="29"/>
        <v>20</v>
      </c>
      <c r="AF136" s="414"/>
      <c r="AY136">
        <f t="shared" si="6"/>
        <v>2008</v>
      </c>
      <c r="AZ136" s="414">
        <f t="shared" si="7"/>
        <v>1056178</v>
      </c>
      <c r="BA136">
        <f t="shared" si="8"/>
        <v>85937</v>
      </c>
      <c r="BB136" s="1152">
        <f t="shared" si="9"/>
        <v>1142115</v>
      </c>
      <c r="BC136" s="1151">
        <f t="shared" si="10"/>
        <v>41</v>
      </c>
      <c r="BD136" s="1151">
        <f t="shared" si="11"/>
        <v>41</v>
      </c>
      <c r="BE136" s="1151">
        <f t="shared" si="17"/>
        <v>27</v>
      </c>
    </row>
    <row r="137" spans="1:57" ht="15.75">
      <c r="A137" s="666">
        <v>2009</v>
      </c>
      <c r="B137" s="1121">
        <f t="shared" si="16"/>
        <v>1589565</v>
      </c>
      <c r="C137" s="671">
        <f t="shared" si="19"/>
        <v>25</v>
      </c>
      <c r="D137" s="906">
        <v>136112</v>
      </c>
      <c r="E137" s="671">
        <f t="shared" si="20"/>
        <v>23</v>
      </c>
      <c r="F137" s="1120">
        <v>1725677</v>
      </c>
      <c r="G137" s="671">
        <f t="shared" si="21"/>
        <v>25</v>
      </c>
      <c r="H137" s="708"/>
      <c r="I137" s="709">
        <f t="shared" si="2"/>
        <v>2009</v>
      </c>
      <c r="J137" s="670">
        <f t="shared" si="31"/>
        <v>849618</v>
      </c>
      <c r="K137" s="671">
        <f t="shared" si="22"/>
        <v>25</v>
      </c>
      <c r="L137" s="804">
        <v>59948</v>
      </c>
      <c r="M137" s="671">
        <f t="shared" si="23"/>
        <v>26</v>
      </c>
      <c r="N137" s="944">
        <v>909566</v>
      </c>
      <c r="O137" s="671">
        <f t="shared" si="24"/>
        <v>26</v>
      </c>
      <c r="P137" s="6"/>
      <c r="Q137" s="667">
        <f t="shared" si="3"/>
        <v>2009</v>
      </c>
      <c r="R137" s="946">
        <v>468725</v>
      </c>
      <c r="S137" s="671">
        <f t="shared" si="25"/>
        <v>20</v>
      </c>
      <c r="T137" s="669">
        <v>68622</v>
      </c>
      <c r="U137" s="671">
        <f t="shared" si="26"/>
        <v>26</v>
      </c>
      <c r="V137" s="670">
        <f t="shared" si="30"/>
        <v>537347</v>
      </c>
      <c r="W137" s="671">
        <f t="shared" si="27"/>
        <v>23</v>
      </c>
      <c r="X137" s="708"/>
      <c r="Y137" s="669">
        <v>677348</v>
      </c>
      <c r="Z137" s="671">
        <f t="shared" si="28"/>
        <v>18</v>
      </c>
      <c r="AA137" s="774">
        <f t="shared" si="13"/>
        <v>0.53449717375508399</v>
      </c>
      <c r="AB137" s="774">
        <f t="shared" si="15"/>
        <v>0.44043140942753028</v>
      </c>
      <c r="AC137" s="774">
        <f t="shared" si="14"/>
        <v>0.66195342751004205</v>
      </c>
      <c r="AE137" s="1150">
        <f t="shared" si="29"/>
        <v>17</v>
      </c>
      <c r="AF137" s="414"/>
      <c r="AY137">
        <f t="shared" si="6"/>
        <v>2009</v>
      </c>
      <c r="AZ137" s="414">
        <f t="shared" si="7"/>
        <v>1589565</v>
      </c>
      <c r="BA137">
        <f t="shared" si="8"/>
        <v>136112</v>
      </c>
      <c r="BB137" s="1152">
        <f t="shared" si="9"/>
        <v>1725677</v>
      </c>
      <c r="BC137" s="1151">
        <f t="shared" si="10"/>
        <v>25</v>
      </c>
      <c r="BD137" s="1151">
        <f t="shared" si="11"/>
        <v>25</v>
      </c>
      <c r="BE137" s="1151">
        <f t="shared" si="17"/>
        <v>23</v>
      </c>
    </row>
    <row r="138" spans="1:57" ht="15.75">
      <c r="A138" s="666">
        <v>2010</v>
      </c>
      <c r="B138" s="1121">
        <f t="shared" si="16"/>
        <v>1270893</v>
      </c>
      <c r="C138" s="671">
        <f t="shared" si="19"/>
        <v>32</v>
      </c>
      <c r="D138" s="906">
        <v>449546</v>
      </c>
      <c r="E138" s="671">
        <f t="shared" si="20"/>
        <v>9</v>
      </c>
      <c r="F138" s="1120">
        <v>1720439</v>
      </c>
      <c r="G138" s="671">
        <f t="shared" si="21"/>
        <v>26</v>
      </c>
      <c r="H138" s="708"/>
      <c r="I138" s="709">
        <f t="shared" si="2"/>
        <v>2010</v>
      </c>
      <c r="J138" s="879">
        <f t="shared" si="31"/>
        <v>442458</v>
      </c>
      <c r="K138" s="671">
        <f t="shared" si="22"/>
        <v>34</v>
      </c>
      <c r="L138" s="944">
        <v>207915</v>
      </c>
      <c r="M138" s="671">
        <f t="shared" si="23"/>
        <v>12</v>
      </c>
      <c r="N138" s="944">
        <v>650373</v>
      </c>
      <c r="O138" s="671">
        <f t="shared" si="24"/>
        <v>31</v>
      </c>
      <c r="P138" s="708"/>
      <c r="Q138" s="709">
        <f t="shared" si="3"/>
        <v>2010</v>
      </c>
      <c r="R138" s="946">
        <v>502995</v>
      </c>
      <c r="S138" s="671">
        <f t="shared" si="25"/>
        <v>14</v>
      </c>
      <c r="T138" s="669">
        <v>83285</v>
      </c>
      <c r="U138" s="671">
        <f t="shared" si="26"/>
        <v>13</v>
      </c>
      <c r="V138" s="670">
        <f t="shared" si="30"/>
        <v>586280</v>
      </c>
      <c r="W138" s="671">
        <f t="shared" si="27"/>
        <v>14</v>
      </c>
      <c r="X138" s="708"/>
      <c r="Y138" s="669">
        <v>901488</v>
      </c>
      <c r="Z138" s="671">
        <f t="shared" si="28"/>
        <v>5</v>
      </c>
      <c r="AA138" s="774">
        <f t="shared" si="13"/>
        <v>0.34814732632880974</v>
      </c>
      <c r="AB138" s="774">
        <f t="shared" si="15"/>
        <v>0.46249994438833847</v>
      </c>
      <c r="AC138" s="774">
        <f t="shared" si="14"/>
        <v>0.53868657707611889</v>
      </c>
      <c r="AE138" s="1150">
        <f t="shared" si="29"/>
        <v>18</v>
      </c>
      <c r="AF138" s="414"/>
      <c r="AY138">
        <f t="shared" si="6"/>
        <v>2010</v>
      </c>
      <c r="AZ138" s="414">
        <f t="shared" si="7"/>
        <v>1270893</v>
      </c>
      <c r="BA138">
        <f t="shared" si="8"/>
        <v>449546</v>
      </c>
      <c r="BB138" s="1152">
        <f t="shared" si="9"/>
        <v>1720439</v>
      </c>
      <c r="BC138" s="1151">
        <f t="shared" si="10"/>
        <v>26</v>
      </c>
      <c r="BD138" s="1151">
        <f t="shared" si="11"/>
        <v>35</v>
      </c>
      <c r="BE138" s="1151">
        <f t="shared" si="17"/>
        <v>9</v>
      </c>
    </row>
    <row r="139" spans="1:57" ht="15.75">
      <c r="A139" s="666">
        <v>2011</v>
      </c>
      <c r="B139" s="1121">
        <f t="shared" si="16"/>
        <v>2539103</v>
      </c>
      <c r="C139" s="671">
        <f t="shared" si="19"/>
        <v>8</v>
      </c>
      <c r="D139" s="906">
        <v>566583</v>
      </c>
      <c r="E139" s="671">
        <f t="shared" si="20"/>
        <v>3</v>
      </c>
      <c r="F139" s="1120">
        <v>3105686</v>
      </c>
      <c r="G139" s="671">
        <f t="shared" si="21"/>
        <v>6</v>
      </c>
      <c r="H139" s="708"/>
      <c r="I139" s="709">
        <f t="shared" si="2"/>
        <v>2011</v>
      </c>
      <c r="J139" s="879">
        <f t="shared" si="31"/>
        <v>1582656</v>
      </c>
      <c r="K139" s="671">
        <f t="shared" si="22"/>
        <v>6</v>
      </c>
      <c r="L139" s="669">
        <v>487916</v>
      </c>
      <c r="M139" s="671">
        <f>RANK(L139,L$108:L$143)</f>
        <v>3</v>
      </c>
      <c r="N139" s="944">
        <v>2070572</v>
      </c>
      <c r="O139" s="671">
        <f t="shared" si="24"/>
        <v>4</v>
      </c>
      <c r="P139" s="708"/>
      <c r="Q139" s="709">
        <f t="shared" si="3"/>
        <v>2011</v>
      </c>
      <c r="R139" s="946">
        <v>607657</v>
      </c>
      <c r="S139" s="671">
        <f t="shared" si="25"/>
        <v>6</v>
      </c>
      <c r="T139" s="669">
        <v>76507</v>
      </c>
      <c r="U139" s="671">
        <f t="shared" si="26"/>
        <v>16</v>
      </c>
      <c r="V139" s="670">
        <f t="shared" si="30"/>
        <v>684164</v>
      </c>
      <c r="W139" s="671">
        <f t="shared" si="27"/>
        <v>6</v>
      </c>
      <c r="X139" s="708"/>
      <c r="Y139" s="669">
        <v>880342</v>
      </c>
      <c r="Z139" s="671">
        <f t="shared" si="28"/>
        <v>7</v>
      </c>
      <c r="AA139" s="774">
        <f t="shared" si="13"/>
        <v>0.62331303613914046</v>
      </c>
      <c r="AB139" s="774">
        <f t="shared" si="15"/>
        <v>0.86115538235351219</v>
      </c>
      <c r="AC139" s="774">
        <f t="shared" si="14"/>
        <v>0.73054893795170972</v>
      </c>
      <c r="AE139" s="1150">
        <f t="shared" si="29"/>
        <v>8</v>
      </c>
      <c r="AF139" s="414"/>
      <c r="AY139">
        <f t="shared" si="6"/>
        <v>2011</v>
      </c>
      <c r="AZ139" s="414">
        <f t="shared" si="7"/>
        <v>2539103</v>
      </c>
      <c r="BA139">
        <f t="shared" si="8"/>
        <v>566583</v>
      </c>
      <c r="BB139" s="1152">
        <f t="shared" si="9"/>
        <v>3105686</v>
      </c>
      <c r="BC139" s="1151">
        <f t="shared" si="10"/>
        <v>6</v>
      </c>
      <c r="BD139" s="1151">
        <f t="shared" si="11"/>
        <v>8</v>
      </c>
      <c r="BE139" s="1151">
        <f t="shared" si="17"/>
        <v>3</v>
      </c>
    </row>
    <row r="140" spans="1:57" ht="15.75">
      <c r="A140" s="666">
        <v>2012</v>
      </c>
      <c r="B140" s="1121">
        <f t="shared" si="16"/>
        <v>2810319.845475113</v>
      </c>
      <c r="C140" s="671">
        <f t="shared" si="19"/>
        <v>5</v>
      </c>
      <c r="D140" s="906">
        <v>465268.15452488681</v>
      </c>
      <c r="E140" s="671">
        <f t="shared" si="20"/>
        <v>8</v>
      </c>
      <c r="F140" s="1120">
        <v>3275588</v>
      </c>
      <c r="G140" s="671">
        <f t="shared" si="21"/>
        <v>4</v>
      </c>
      <c r="H140" s="999"/>
      <c r="I140" s="709">
        <f t="shared" si="2"/>
        <v>2012</v>
      </c>
      <c r="J140" s="879">
        <f t="shared" si="31"/>
        <v>1536018.4583767818</v>
      </c>
      <c r="K140" s="671">
        <f t="shared" si="22"/>
        <v>7</v>
      </c>
      <c r="L140" s="669">
        <v>339329.54162321822</v>
      </c>
      <c r="M140" s="671">
        <f t="shared" si="23"/>
        <v>7</v>
      </c>
      <c r="N140" s="944">
        <v>1875348</v>
      </c>
      <c r="O140" s="671">
        <f t="shared" si="24"/>
        <v>7</v>
      </c>
      <c r="P140" s="708"/>
      <c r="Q140" s="709">
        <f t="shared" si="3"/>
        <v>2012</v>
      </c>
      <c r="R140" s="1000">
        <v>954272</v>
      </c>
      <c r="S140" s="671">
        <f>RANK(R140,R$108:R$143)</f>
        <v>1</v>
      </c>
      <c r="T140" s="669">
        <v>66850</v>
      </c>
      <c r="U140" s="671">
        <f t="shared" si="26"/>
        <v>28</v>
      </c>
      <c r="V140" s="670">
        <f t="shared" si="30"/>
        <v>1021122</v>
      </c>
      <c r="W140" s="671">
        <f t="shared" si="27"/>
        <v>1</v>
      </c>
      <c r="X140" s="708"/>
      <c r="Y140" s="669">
        <v>1263464</v>
      </c>
      <c r="Z140" s="671">
        <f t="shared" si="28"/>
        <v>1</v>
      </c>
      <c r="AA140" s="774">
        <f t="shared" si="13"/>
        <v>0.54656357384015208</v>
      </c>
      <c r="AB140" s="774">
        <f t="shared" si="15"/>
        <v>0.7293203678848984</v>
      </c>
      <c r="AC140" s="774">
        <f t="shared" si="14"/>
        <v>0.6366527455427875</v>
      </c>
      <c r="AE140" s="1150">
        <f t="shared" si="29"/>
        <v>5</v>
      </c>
      <c r="AF140" s="414"/>
      <c r="AY140">
        <f t="shared" si="6"/>
        <v>2012</v>
      </c>
      <c r="AZ140" s="414">
        <f t="shared" si="7"/>
        <v>2810319.845475113</v>
      </c>
      <c r="BA140">
        <f t="shared" si="8"/>
        <v>465268.15452488681</v>
      </c>
      <c r="BB140" s="1152">
        <f t="shared" si="9"/>
        <v>3275588</v>
      </c>
      <c r="BC140" s="1151">
        <f t="shared" si="10"/>
        <v>4</v>
      </c>
      <c r="BD140" s="1151">
        <f t="shared" si="11"/>
        <v>5</v>
      </c>
      <c r="BE140" s="1151">
        <f t="shared" si="17"/>
        <v>8</v>
      </c>
    </row>
    <row r="141" spans="1:57" ht="15.75">
      <c r="A141" s="666">
        <v>2013</v>
      </c>
      <c r="B141" s="1121">
        <f t="shared" si="16"/>
        <v>2539812</v>
      </c>
      <c r="C141" s="671">
        <f t="shared" si="19"/>
        <v>7</v>
      </c>
      <c r="D141" s="906">
        <v>469113</v>
      </c>
      <c r="E141" s="671">
        <f t="shared" si="20"/>
        <v>6</v>
      </c>
      <c r="F141" s="1120">
        <v>3008925</v>
      </c>
      <c r="G141" s="671">
        <f t="shared" si="21"/>
        <v>7</v>
      </c>
      <c r="H141" s="999"/>
      <c r="I141" s="709">
        <f t="shared" si="2"/>
        <v>2013</v>
      </c>
      <c r="J141" s="879">
        <f>N141-L141</f>
        <v>1243834.1765905079</v>
      </c>
      <c r="K141" s="671">
        <f t="shared" si="22"/>
        <v>10</v>
      </c>
      <c r="L141" s="669">
        <v>377832.82340949209</v>
      </c>
      <c r="M141" s="671">
        <f t="shared" si="23"/>
        <v>4</v>
      </c>
      <c r="N141" s="944">
        <v>1621667</v>
      </c>
      <c r="O141" s="671">
        <f t="shared" si="24"/>
        <v>9</v>
      </c>
      <c r="P141" s="708"/>
      <c r="Q141" s="709">
        <f t="shared" si="3"/>
        <v>2013</v>
      </c>
      <c r="R141" s="1119">
        <v>860934</v>
      </c>
      <c r="S141" s="671">
        <f t="shared" si="25"/>
        <v>3</v>
      </c>
      <c r="T141" s="975">
        <v>73505</v>
      </c>
      <c r="U141" s="671">
        <f t="shared" si="26"/>
        <v>20</v>
      </c>
      <c r="V141" s="670">
        <f t="shared" si="30"/>
        <v>934439</v>
      </c>
      <c r="W141" s="671">
        <f t="shared" si="27"/>
        <v>2</v>
      </c>
      <c r="X141" s="708"/>
      <c r="Y141" s="669">
        <v>1226060</v>
      </c>
      <c r="Z141" s="671">
        <f t="shared" si="28"/>
        <v>2</v>
      </c>
      <c r="AA141" s="774">
        <f t="shared" si="13"/>
        <v>0.48973474280399804</v>
      </c>
      <c r="AB141" s="774">
        <f t="shared" si="15"/>
        <v>0.8054196396379808</v>
      </c>
      <c r="AC141" s="774">
        <f t="shared" si="14"/>
        <v>0.63208339829877169</v>
      </c>
      <c r="AE141" s="1150">
        <f t="shared" si="29"/>
        <v>7</v>
      </c>
      <c r="AF141" s="414"/>
      <c r="AY141">
        <f t="shared" si="6"/>
        <v>2013</v>
      </c>
      <c r="AZ141" s="414">
        <f t="shared" si="7"/>
        <v>2539812</v>
      </c>
      <c r="BA141">
        <f t="shared" si="8"/>
        <v>469113</v>
      </c>
      <c r="BB141" s="1152">
        <f t="shared" si="9"/>
        <v>3008925</v>
      </c>
      <c r="BC141" s="1151">
        <f t="shared" si="10"/>
        <v>7</v>
      </c>
      <c r="BD141" s="1151">
        <f t="shared" si="11"/>
        <v>7</v>
      </c>
      <c r="BE141" s="1151">
        <f t="shared" si="17"/>
        <v>6</v>
      </c>
    </row>
    <row r="142" spans="1:57" ht="15.75">
      <c r="A142" s="666">
        <v>2014</v>
      </c>
      <c r="B142" s="1121">
        <f>F142-D142</f>
        <v>2847508.076601326</v>
      </c>
      <c r="C142" s="671">
        <f t="shared" si="19"/>
        <v>3</v>
      </c>
      <c r="D142" s="906">
        <v>466382.02589867421</v>
      </c>
      <c r="E142" s="671">
        <f t="shared" si="20"/>
        <v>7</v>
      </c>
      <c r="F142" s="1120">
        <v>3313890.1025</v>
      </c>
      <c r="G142" s="671">
        <f>RANK(F142,F$108:F$143)</f>
        <v>3</v>
      </c>
      <c r="H142" s="999"/>
      <c r="I142" s="709">
        <f t="shared" si="2"/>
        <v>2014</v>
      </c>
      <c r="J142" s="879">
        <f>N142-L142</f>
        <v>1606930.2432679925</v>
      </c>
      <c r="K142" s="671">
        <f>RANK(J142,J$108:J$143)</f>
        <v>5</v>
      </c>
      <c r="L142" s="669">
        <v>370426.85923200753</v>
      </c>
      <c r="M142" s="671">
        <f t="shared" si="23"/>
        <v>5</v>
      </c>
      <c r="N142" s="944">
        <v>1977357.1025</v>
      </c>
      <c r="O142" s="671">
        <f t="shared" si="24"/>
        <v>5</v>
      </c>
      <c r="P142" s="708"/>
      <c r="Q142" s="709">
        <f t="shared" si="3"/>
        <v>2014</v>
      </c>
      <c r="R142" s="893">
        <v>862424</v>
      </c>
      <c r="S142" s="671">
        <f>RANK(R142,R$108:R$142)</f>
        <v>2</v>
      </c>
      <c r="T142" s="975">
        <v>64205</v>
      </c>
      <c r="U142" s="671">
        <f>RANK(T142,T$108:T$142)</f>
        <v>30</v>
      </c>
      <c r="V142" s="670">
        <f t="shared" si="30"/>
        <v>926629</v>
      </c>
      <c r="W142" s="671">
        <f t="shared" si="27"/>
        <v>3</v>
      </c>
      <c r="X142" s="708"/>
      <c r="Y142" s="669">
        <v>1194260</v>
      </c>
      <c r="Z142" s="671">
        <f>RANK(Y142,Y$108:Y$143)</f>
        <v>3</v>
      </c>
      <c r="AA142" s="774">
        <f>J142/B142</f>
        <v>0.56432859891514742</v>
      </c>
      <c r="AB142" s="774">
        <f t="shared" si="15"/>
        <v>0.79425629347149451</v>
      </c>
      <c r="AC142" s="774">
        <f>(B142-V142)/B142</f>
        <v>0.6745824857831525</v>
      </c>
      <c r="AE142" s="1150">
        <f t="shared" si="29"/>
        <v>3</v>
      </c>
      <c r="AF142" s="414"/>
      <c r="AY142">
        <f t="shared" si="6"/>
        <v>2014</v>
      </c>
      <c r="AZ142" s="414">
        <f t="shared" si="7"/>
        <v>2847508.076601326</v>
      </c>
      <c r="BA142">
        <f t="shared" si="8"/>
        <v>466382.02589867421</v>
      </c>
      <c r="BB142" s="1152">
        <f t="shared" si="9"/>
        <v>3313890.1025</v>
      </c>
      <c r="BC142" s="1151">
        <f t="shared" si="10"/>
        <v>3</v>
      </c>
      <c r="BD142" s="1151">
        <f t="shared" si="11"/>
        <v>3</v>
      </c>
      <c r="BE142" s="1151">
        <f t="shared" si="17"/>
        <v>7</v>
      </c>
    </row>
    <row r="143" spans="1:57" ht="15.75">
      <c r="A143" s="666">
        <v>2015</v>
      </c>
      <c r="B143" s="893">
        <f>WildTotalRunForecast</f>
        <v>2746398.292268862</v>
      </c>
      <c r="C143" s="671">
        <f>RANK(B143,B$108:B$143)</f>
        <v>6</v>
      </c>
      <c r="D143" s="947">
        <f>EhancedTotalRunForecast</f>
        <v>445880.49500421208</v>
      </c>
      <c r="E143" s="671">
        <f t="shared" si="20"/>
        <v>10</v>
      </c>
      <c r="F143" s="893">
        <f>D143+B143</f>
        <v>3192278.787273074</v>
      </c>
      <c r="G143" s="671">
        <f t="shared" si="21"/>
        <v>5</v>
      </c>
      <c r="H143" s="708"/>
      <c r="I143" s="948">
        <f t="shared" si="2"/>
        <v>2015</v>
      </c>
      <c r="J143" s="893">
        <f>'Fcst Sumry'!G88</f>
        <v>1983606.7516645307</v>
      </c>
      <c r="K143" s="671">
        <f t="shared" si="22"/>
        <v>3</v>
      </c>
      <c r="L143" s="893">
        <f>'Fcst Sumry'!G94</f>
        <v>252907.88710727979</v>
      </c>
      <c r="M143" s="671">
        <f t="shared" si="23"/>
        <v>11</v>
      </c>
      <c r="N143" s="893">
        <f>L143+J143</f>
        <v>2236514.6387718106</v>
      </c>
      <c r="O143" s="671">
        <f t="shared" si="24"/>
        <v>3</v>
      </c>
      <c r="P143" s="708"/>
      <c r="Q143" s="709">
        <f t="shared" si="3"/>
        <v>2015</v>
      </c>
      <c r="R143" s="669"/>
      <c r="S143" s="671"/>
      <c r="T143" s="708"/>
      <c r="U143" s="671"/>
      <c r="V143" s="670"/>
      <c r="W143" s="671"/>
      <c r="X143" s="708"/>
      <c r="Y143" s="669"/>
      <c r="Z143" s="671"/>
      <c r="AE143" s="1150">
        <f t="shared" si="29"/>
        <v>6</v>
      </c>
      <c r="AY143">
        <f t="shared" si="6"/>
        <v>2015</v>
      </c>
      <c r="AZ143" s="414">
        <f t="shared" si="7"/>
        <v>2746398.292268862</v>
      </c>
      <c r="BA143">
        <f t="shared" si="8"/>
        <v>445880.49500421208</v>
      </c>
      <c r="BB143" s="1152">
        <f t="shared" si="9"/>
        <v>3192278.787273074</v>
      </c>
      <c r="BC143" s="1151">
        <f t="shared" si="10"/>
        <v>5</v>
      </c>
      <c r="BD143" s="1151">
        <f t="shared" si="11"/>
        <v>6</v>
      </c>
      <c r="BE143" s="1151">
        <f t="shared" si="17"/>
        <v>10</v>
      </c>
    </row>
    <row r="144" spans="1:57" ht="15.75">
      <c r="A144" s="705"/>
      <c r="B144" s="879"/>
      <c r="C144" s="707"/>
      <c r="D144" s="991"/>
      <c r="E144" s="707"/>
      <c r="F144" s="879"/>
      <c r="G144" s="707"/>
      <c r="H144" s="708"/>
      <c r="I144" s="709"/>
      <c r="J144" s="879"/>
      <c r="K144" s="707"/>
      <c r="L144" s="879"/>
      <c r="M144" s="707"/>
      <c r="N144" s="879"/>
      <c r="O144" s="707"/>
      <c r="P144" s="708"/>
      <c r="Q144" s="709"/>
      <c r="R144" s="975"/>
      <c r="S144" s="707"/>
      <c r="T144" s="708"/>
      <c r="U144" s="707"/>
      <c r="V144" s="879"/>
      <c r="W144" s="707"/>
      <c r="X144" s="708"/>
      <c r="Y144" s="975"/>
      <c r="Z144" s="707"/>
      <c r="AZ144" s="414"/>
    </row>
    <row r="145" spans="1:52" ht="15.75">
      <c r="A145" s="705"/>
      <c r="B145" s="879"/>
      <c r="C145" s="707"/>
      <c r="D145" s="991"/>
      <c r="E145" s="707"/>
      <c r="F145" s="879"/>
      <c r="G145" s="707"/>
      <c r="H145" s="708"/>
      <c r="I145" s="709"/>
      <c r="J145" s="879"/>
      <c r="K145" s="707"/>
      <c r="L145" s="879"/>
      <c r="M145" s="707"/>
      <c r="N145" s="879"/>
      <c r="O145" s="707"/>
      <c r="P145" s="708"/>
      <c r="Q145" s="709"/>
      <c r="R145" s="975"/>
      <c r="S145" s="707"/>
      <c r="T145" s="708"/>
      <c r="U145" s="707"/>
      <c r="V145" s="879"/>
      <c r="W145" s="707"/>
      <c r="X145" s="708"/>
      <c r="Y145" s="975"/>
      <c r="Z145" s="707"/>
      <c r="AZ145" s="414"/>
    </row>
    <row r="146" spans="1:52" ht="15.75">
      <c r="A146" s="705"/>
      <c r="B146" s="706"/>
      <c r="C146" s="707"/>
      <c r="D146" s="669"/>
      <c r="E146" s="707"/>
      <c r="F146" s="706"/>
      <c r="G146" s="707"/>
      <c r="H146" s="708"/>
      <c r="I146" s="709"/>
      <c r="J146" s="706"/>
      <c r="K146" s="671"/>
      <c r="L146" s="706"/>
      <c r="M146" s="707"/>
      <c r="N146" s="706"/>
      <c r="O146" s="708"/>
      <c r="P146" s="708"/>
      <c r="Q146" s="709"/>
      <c r="R146" s="708"/>
      <c r="S146" s="708"/>
      <c r="T146" s="708"/>
      <c r="U146" s="708"/>
      <c r="V146" s="708"/>
      <c r="W146" s="708"/>
      <c r="X146" s="708"/>
      <c r="Y146" s="6"/>
      <c r="Z146" s="6"/>
      <c r="AZ146" s="414"/>
    </row>
    <row r="147" spans="1:52" ht="15.75">
      <c r="A147" s="934" t="s">
        <v>526</v>
      </c>
      <c r="B147" s="655"/>
      <c r="C147" s="655"/>
      <c r="D147" s="655"/>
      <c r="E147" s="655"/>
      <c r="F147" s="655"/>
      <c r="G147" s="655"/>
      <c r="H147" s="655"/>
      <c r="I147" s="656"/>
      <c r="J147" s="655"/>
      <c r="K147" s="655"/>
      <c r="L147" s="655"/>
      <c r="M147" s="655"/>
      <c r="N147" s="655"/>
      <c r="O147" s="655"/>
      <c r="P147" s="655"/>
      <c r="Q147" s="656"/>
      <c r="R147" s="655"/>
      <c r="S147" s="655"/>
      <c r="T147" s="655"/>
      <c r="U147" s="655"/>
      <c r="V147" s="655"/>
      <c r="W147" s="655"/>
      <c r="X147" s="655"/>
      <c r="Y147" s="655"/>
      <c r="Z147" s="227"/>
      <c r="AA147" s="774">
        <f>SUM(J118:J142)/SUM(B118:B142)</f>
        <v>0.571406341756033</v>
      </c>
      <c r="AB147" s="774">
        <f>SUM(L118:L142)/SUM(D118:D142)</f>
        <v>0.70626856050618803</v>
      </c>
      <c r="AE147" t="s">
        <v>615</v>
      </c>
      <c r="AZ147" s="414"/>
    </row>
    <row r="148" spans="1:52" ht="15.75">
      <c r="A148" s="656">
        <v>5</v>
      </c>
      <c r="B148" s="931">
        <f>AVERAGE(INDEX(B$88:B$146,COUNT($A$88:$A$146)-1,0):INDEX(B$88:B$146,COUNT($A$88:$A$146)-$A148,0))</f>
        <v>2401527.1844152878</v>
      </c>
      <c r="C148" s="655"/>
      <c r="D148" s="931">
        <f>AVERAGE(INDEX(D$88:D$146,COUNT($A$88:$A$146)-1,0):INDEX(D$88:D$146,COUNT($A$88:$A$146)-$A148,0))</f>
        <v>483378.43608471222</v>
      </c>
      <c r="E148" s="655"/>
      <c r="F148" s="931">
        <f>AVERAGE(INDEX(F$88:F$146,COUNT($A$88:$A$146)-1,0):INDEX(F$88:F$146,COUNT($A$88:$A$146)-$A148,0))</f>
        <v>2884905.6204999997</v>
      </c>
      <c r="G148" s="710"/>
      <c r="H148" s="655"/>
      <c r="I148" s="794"/>
      <c r="J148" s="931">
        <f>AVERAGE(INDEX(J$88:J$146,COUNT($A$88:$A$146)-1,0):INDEX(J$88:J$146,COUNT($A$88:$A$146)-$A148,0))</f>
        <v>1282379.3756470564</v>
      </c>
      <c r="K148" s="655"/>
      <c r="L148" s="931">
        <f>AVERAGE(INDEX(L$88:L$146,COUNT($A$88:$A$146)-1,0):INDEX(L$88:L$146,COUNT($A$88:$A$146)-$A148,0))</f>
        <v>356684.04485294357</v>
      </c>
      <c r="M148" s="655"/>
      <c r="N148" s="931">
        <f>AVERAGE(INDEX(N$88:N$146,COUNT($A$88:$A$146)-1,0):INDEX(N$88:N$146,COUNT($A$88:$A$146)-$A148,0))</f>
        <v>1639063.4205</v>
      </c>
      <c r="O148" s="655"/>
      <c r="P148" s="655"/>
      <c r="Q148" s="794"/>
      <c r="R148" s="931">
        <f>AVERAGE(INDEX(R$88:R$146,COUNT($A$88:$A$146)-1,0):INDEX(R$88:R$146,COUNT($A$88:$A$146)-$A148,0))</f>
        <v>757656.4</v>
      </c>
      <c r="S148" s="655"/>
      <c r="T148" s="931">
        <f>AVERAGE(INDEX(T$88:T$146,COUNT($A$88:$A$146)-1,0):INDEX(T$88:T$146,COUNT($A$88:$A$146)-$A148,0))</f>
        <v>72870.399999999994</v>
      </c>
      <c r="U148" s="655"/>
      <c r="V148" s="931">
        <f>AVERAGE(INDEX(V$88:V$146,COUNT($A$88:$A$146)-1,0):INDEX(V$88:V$146,COUNT($A$88:$A$146)-$A148,0))</f>
        <v>830526.8</v>
      </c>
      <c r="W148" s="655"/>
      <c r="X148" s="655"/>
      <c r="Y148" s="931">
        <f>AVERAGE(INDEX(Y$88:Y$146,COUNT($A$88:$A$146)-1,0):INDEX(Y$88:Y$146,COUNT($A$88:$A$146)-$A148,0))</f>
        <v>1093122.8</v>
      </c>
      <c r="Z148" s="227"/>
      <c r="AA148" s="950"/>
      <c r="AB148" s="950"/>
      <c r="AC148" s="774">
        <f>AVERAGE(AC118:AC141)</f>
        <v>0.68002778379465856</v>
      </c>
      <c r="AZ148" s="414"/>
    </row>
    <row r="149" spans="1:52" ht="15.75">
      <c r="A149" s="379">
        <v>10</v>
      </c>
      <c r="B149" s="558">
        <f>AVERAGE(INDEX(B$88:B$146,COUNT($A$88:$A$146)-1,0):INDEX(B$88:B$146,COUNT($A$88:$A$146)-$A149,0))</f>
        <v>2178981.0222636946</v>
      </c>
      <c r="C149" s="227"/>
      <c r="D149" s="558">
        <f>AVERAGE(INDEX(D$88:D$146,COUNT($A$88:$A$146)-1,0):INDEX(D$88:D$146,COUNT($A$88:$A$146)-$A149,0))</f>
        <v>333902.81804235611</v>
      </c>
      <c r="E149" s="227"/>
      <c r="F149" s="558">
        <f>AVERAGE(INDEX(F$88:F$146,COUNT($A$88:$A$146)-1,0):INDEX(F$88:F$146,COUNT($A$88:$A$146)-$A149,0))</f>
        <v>2512883.8403060506</v>
      </c>
      <c r="G149" s="227"/>
      <c r="H149" s="227"/>
      <c r="I149" s="709"/>
      <c r="J149" s="558">
        <f>AVERAGE(INDEX(J$88:J$146,COUNT($A$88:$A$146)-1,0):INDEX(J$88:J$146,COUNT($A$88:$A$146)-$A149,0))</f>
        <v>1195524.8878235281</v>
      </c>
      <c r="K149" s="227"/>
      <c r="L149" s="558">
        <f>AVERAGE(INDEX(L$88:L$146,COUNT($A$88:$A$146)-1,0):INDEX(L$88:L$146,COUNT($A$88:$A$146)-$A149,0))</f>
        <v>221888.72242647177</v>
      </c>
      <c r="M149" s="227"/>
      <c r="N149" s="558">
        <f>AVERAGE(INDEX(N$88:N$146,COUNT($A$88:$A$146)-1,0):INDEX(N$88:N$146,COUNT($A$88:$A$146)-$A149,0))</f>
        <v>1417413.6102499999</v>
      </c>
      <c r="O149" s="227"/>
      <c r="P149" s="227"/>
      <c r="Q149" s="379"/>
      <c r="R149" s="558">
        <f>AVERAGE(INDEX(R$88:R$146,COUNT($A$88:$A$146)-1,0):INDEX(R$88:R$146,COUNT($A$88:$A$146)-$A149,0))</f>
        <v>644483.83005605068</v>
      </c>
      <c r="S149" s="227"/>
      <c r="T149" s="558">
        <f>AVERAGE(INDEX(T$88:T$146,COUNT($A$88:$A$146)-1,0):INDEX(T$88:T$146,COUNT($A$88:$A$146)-$A149,0))</f>
        <v>74651.100000000006</v>
      </c>
      <c r="U149" s="227"/>
      <c r="V149" s="558">
        <f>AVERAGE(INDEX(V$88:V$146,COUNT($A$88:$A$146)-1,0):INDEX(V$88:V$146,COUNT($A$88:$A$146)-$A149,0))</f>
        <v>719134.93005605065</v>
      </c>
      <c r="W149" s="227"/>
      <c r="X149" s="227"/>
      <c r="Y149" s="558">
        <f>AVERAGE(INDEX(Y$88:Y$146,COUNT($A$88:$A$146)-1,0):INDEX(Y$88:Y$146,COUNT($A$88:$A$146)-$A149,0))</f>
        <v>940992.43005605077</v>
      </c>
      <c r="Z149" s="227"/>
      <c r="AZ149" s="414"/>
    </row>
    <row r="150" spans="1:52">
      <c r="A150" s="379">
        <v>20</v>
      </c>
      <c r="B150" s="558">
        <f>AVERAGE(INDEX(B$88:B$146,COUNT($A$88:$A$146)-1,0):INDEX(B$88:B$146,COUNT($A$88:$A$146)-$A150,0))</f>
        <v>2106273.5617587729</v>
      </c>
      <c r="C150" s="227"/>
      <c r="D150" s="558">
        <f>AVERAGE(INDEX(D$88:D$146,COUNT($A$88:$A$146)-1,0):INDEX(D$88:D$146,COUNT($A$88:$A$146)-$A150,0))</f>
        <v>385053.87115057913</v>
      </c>
      <c r="E150" s="227"/>
      <c r="F150" s="558">
        <f>AVERAGE(INDEX(F$88:F$146,COUNT($A$88:$A$146)-1,0):INDEX(F$88:F$146,COUNT($A$88:$A$146)-$A150,0))</f>
        <v>2491327.4329093518</v>
      </c>
      <c r="G150" s="227"/>
      <c r="H150" s="227"/>
      <c r="I150" s="929"/>
      <c r="J150" s="558">
        <f>AVERAGE(INDEX(J$88:J$146,COUNT($A$88:$A$146)-1,0):INDEX(J$88:J$146,COUNT($A$88:$A$146)-$A150,0))</f>
        <v>1199131.7491383371</v>
      </c>
      <c r="K150" s="227"/>
      <c r="L150" s="558">
        <f>AVERAGE(INDEX(L$88:L$146,COUNT($A$88:$A$146)-1,0):INDEX(L$88:L$146,COUNT($A$88:$A$146)-$A150,0))</f>
        <v>275719.35598666279</v>
      </c>
      <c r="M150" s="227"/>
      <c r="N150" s="558">
        <f>AVERAGE(INDEX(N$88:N$146,COUNT($A$88:$A$146)-1,0):INDEX(N$88:N$146,COUNT($A$88:$A$146)-$A150,0))</f>
        <v>1474851.105125</v>
      </c>
      <c r="O150" s="227"/>
      <c r="P150" s="227"/>
      <c r="Q150" s="379"/>
      <c r="R150" s="558">
        <f>AVERAGE(INDEX(R$88:R$146,COUNT($A$88:$A$146)-1,0):INDEX(R$88:R$146,COUNT($A$88:$A$146)-$A150,0))</f>
        <v>572826.01292421215</v>
      </c>
      <c r="S150" s="227"/>
      <c r="T150" s="558">
        <f>AVERAGE(INDEX(T$88:T$146,COUNT($A$88:$A$146)-1,0):INDEX(T$88:T$146,COUNT($A$88:$A$146)-$A150,0))</f>
        <v>76835.932430069923</v>
      </c>
      <c r="U150" s="227"/>
      <c r="V150" s="558">
        <f>AVERAGE(INDEX(V$88:V$146,COUNT($A$88:$A$146)-1,0):INDEX(V$88:V$146,COUNT($A$88:$A$146)-$A150,0))</f>
        <v>649661.94535428216</v>
      </c>
      <c r="W150" s="227"/>
      <c r="X150" s="227"/>
      <c r="Y150" s="558">
        <f>AVERAGE(INDEX(Y$88:Y$146,COUNT($A$88:$A$146)-1,0):INDEX(Y$88:Y$146,COUNT($A$88:$A$146)-$A150,0))</f>
        <v>859356.51292421226</v>
      </c>
      <c r="Z150" s="227"/>
      <c r="AZ150" s="414"/>
    </row>
    <row r="151" spans="1:52">
      <c r="A151" s="657">
        <v>30</v>
      </c>
      <c r="B151" s="930">
        <f>AVERAGE(INDEX(B$88:B$146,COUNT($A$88:$A$146)-1,0):INDEX(B$88:B$146,COUNT($A$88:$A$146)-$A151,0))</f>
        <v>1935473.4059778044</v>
      </c>
      <c r="C151" s="701"/>
      <c r="D151" s="930">
        <f>AVERAGE(INDEX(D$88:D$146,COUNT($A$88:$A$146)-1,0):INDEX(D$88:D$146,COUNT($A$88:$A$146)-$A151,0))</f>
        <v>302418.74959178711</v>
      </c>
      <c r="E151" s="701"/>
      <c r="F151" s="930">
        <f>AVERAGE(INDEX(F$88:F$146,COUNT($A$88:$A$146)-1,0):INDEX(F$88:F$146,COUNT($A$88:$A$146)-$A151,0))</f>
        <v>2237892.1555695916</v>
      </c>
      <c r="G151" s="701"/>
      <c r="H151" s="701"/>
      <c r="I151" s="933"/>
      <c r="J151" s="930">
        <f>AVERAGE(INDEX(J$88:J$146,COUNT($A$88:$A$146)-1,0):INDEX(J$88:J$146,COUNT($A$88:$A$146)-$A151,0))</f>
        <v>1105818.2942847514</v>
      </c>
      <c r="K151" s="701"/>
      <c r="L151" s="930">
        <f>AVERAGE(INDEX(L$88:L$146,COUNT($A$88:$A$146)-1,0):INDEX(L$88:L$146,COUNT($A$88:$A$146)-$A151,0))</f>
        <v>213027.80913191495</v>
      </c>
      <c r="M151" s="701"/>
      <c r="N151" s="930">
        <f>AVERAGE(INDEX(N$88:N$146,COUNT($A$88:$A$146)-1,0):INDEX(N$88:N$146,COUNT($A$88:$A$146)-$A151,0))</f>
        <v>1318846.1034166666</v>
      </c>
      <c r="O151" s="701"/>
      <c r="P151" s="701"/>
      <c r="Q151" s="657"/>
      <c r="R151" s="930">
        <f>AVERAGE(INDEX(R$88:R$146,COUNT($A$88:$A$146)-1,0):INDEX(R$88:R$146,COUNT($A$88:$A$146)-$A151,0))</f>
        <v>522108.24340050877</v>
      </c>
      <c r="S151" s="701"/>
      <c r="T151" s="930">
        <f>AVERAGE(INDEX(T$88:T$146,COUNT($A$88:$A$146)-1,0):INDEX(T$88:T$146,COUNT($A$88:$A$146)-$A151,0))</f>
        <v>76551.288286713287</v>
      </c>
      <c r="U151" s="701"/>
      <c r="V151" s="930">
        <f>AVERAGE(INDEX(V$88:V$146,COUNT($A$88:$A$146)-1,0):INDEX(V$88:V$146,COUNT($A$88:$A$146)-$A151,0))</f>
        <v>598659.53168722207</v>
      </c>
      <c r="W151" s="701"/>
      <c r="X151" s="701"/>
      <c r="Y151" s="930">
        <f>AVERAGE(INDEX(Y$88:Y$146,COUNT($A$88:$A$146)-1,0):INDEX(Y$88:Y$146,COUNT($A$88:$A$146)-$A151,0))</f>
        <v>763346.24555857654</v>
      </c>
      <c r="Z151" s="227"/>
      <c r="AZ151" s="414"/>
    </row>
    <row r="152" spans="1:52">
      <c r="A152" s="227"/>
      <c r="B152" s="871"/>
      <c r="C152" s="227"/>
      <c r="D152" s="227"/>
      <c r="E152" s="227"/>
      <c r="F152" s="227"/>
      <c r="G152" s="227"/>
      <c r="H152" s="227"/>
      <c r="I152" s="227"/>
      <c r="J152" s="227"/>
      <c r="K152" s="227"/>
      <c r="L152" s="227"/>
      <c r="M152" s="227"/>
      <c r="N152" s="227"/>
      <c r="O152" s="227"/>
      <c r="P152" s="227"/>
      <c r="Q152" s="227"/>
      <c r="R152" s="227"/>
      <c r="S152" s="227"/>
      <c r="T152" s="227"/>
      <c r="U152" s="227"/>
      <c r="V152" s="227"/>
      <c r="W152" s="227"/>
      <c r="X152" s="227"/>
      <c r="Y152" s="227"/>
      <c r="Z152" s="227"/>
      <c r="AZ152" s="414"/>
    </row>
    <row r="153" spans="1:52" ht="15.75">
      <c r="A153" s="935" t="s">
        <v>527</v>
      </c>
      <c r="B153" s="871"/>
      <c r="C153" s="227"/>
      <c r="D153" s="227"/>
      <c r="E153" s="227"/>
      <c r="F153" s="227"/>
      <c r="G153" s="227"/>
      <c r="H153" s="227"/>
      <c r="I153" s="227"/>
      <c r="J153" s="227"/>
      <c r="K153" s="227"/>
      <c r="L153" s="227"/>
      <c r="M153" s="227"/>
      <c r="N153" s="711"/>
      <c r="O153" s="227"/>
      <c r="P153" s="227"/>
      <c r="Q153" s="227"/>
      <c r="R153" s="227"/>
      <c r="S153" s="227"/>
      <c r="T153" s="227"/>
      <c r="U153" s="227"/>
      <c r="V153" s="227"/>
      <c r="W153" s="227"/>
      <c r="X153" s="227"/>
      <c r="Y153" s="871"/>
      <c r="AZ153" s="414"/>
    </row>
    <row r="154" spans="1:52">
      <c r="A154" s="932">
        <v>5</v>
      </c>
      <c r="B154" s="931">
        <f>MEDIAN(INDEX(B$88:B$146,COUNT($A$88:$A$146)-1,0):INDEX(B$88:B$146,COUNT($A$88:$A$146)-$A154,0))</f>
        <v>2539812</v>
      </c>
      <c r="C154" s="655"/>
      <c r="D154" s="931">
        <f>MEDIAN(INDEX(D$88:D$146,COUNT($A$88:$A$146)-1,0):INDEX(D$88:D$146,COUNT($A$88:$A$146)-$A154,0))</f>
        <v>466382.02589867421</v>
      </c>
      <c r="E154" s="655"/>
      <c r="F154" s="931">
        <f>MEDIAN(INDEX(F$88:F$146,COUNT($A$88:$A$146)-1,0):INDEX(F$88:F$146,COUNT($A$88:$A$146)-$A154,0))</f>
        <v>3105686</v>
      </c>
      <c r="G154" s="655"/>
      <c r="H154" s="655"/>
      <c r="I154" s="655"/>
      <c r="J154" s="931">
        <f>MEDIAN(INDEX(J$88:J$146,COUNT($A$88:$A$146)-1,0):INDEX(J$88:J$146,COUNT($A$88:$A$146)-$A154,0))</f>
        <v>1536018.4583767818</v>
      </c>
      <c r="K154" s="655"/>
      <c r="L154" s="931">
        <f>MEDIAN(INDEX(L$88:L$146,COUNT($A$88:$A$146)-1,0):INDEX(L$88:L$146,COUNT($A$88:$A$146)-$A154,0))</f>
        <v>370426.85923200753</v>
      </c>
      <c r="M154" s="655"/>
      <c r="N154" s="931">
        <f>MEDIAN(INDEX(N$88:N$146,COUNT($A$88:$A$146)-1,0):INDEX(N$88:N$146,COUNT($A$88:$A$146)-$A154,0))</f>
        <v>1875348</v>
      </c>
      <c r="O154" s="655"/>
      <c r="P154" s="655"/>
      <c r="Q154" s="655"/>
      <c r="R154" s="931">
        <f>MEDIAN(INDEX(R$88:R$146,COUNT($A$88:$A$146)-1,0):INDEX(R$88:R$146,COUNT($A$88:$A$146)-$A154,0))</f>
        <v>860934</v>
      </c>
      <c r="S154" s="655"/>
      <c r="T154" s="931">
        <f>MEDIAN(INDEX(T$88:T$146,COUNT($A$88:$A$146)-1,0):INDEX(T$88:T$146,COUNT($A$88:$A$146)-$A154,0))</f>
        <v>73505</v>
      </c>
      <c r="U154" s="655"/>
      <c r="V154" s="931">
        <f>MEDIAN(INDEX(V$88:V$146,COUNT($A$88:$A$146)-1,0):INDEX(V$88:V$146,COUNT($A$88:$A$146)-$A154,0))</f>
        <v>926629</v>
      </c>
      <c r="W154" s="655"/>
      <c r="X154" s="655"/>
      <c r="Y154" s="931">
        <f>MEDIAN(INDEX(Y$88:Y$146,COUNT($A$88:$A$146)-1,0):INDEX(Y$88:Y$146,COUNT($A$88:$A$146)-$A154,0))</f>
        <v>1194260</v>
      </c>
      <c r="AZ154" s="414"/>
    </row>
    <row r="155" spans="1:52">
      <c r="A155" s="227">
        <v>10</v>
      </c>
      <c r="B155" s="558">
        <f>MEDIAN(INDEX(B$88:B$146,COUNT($A$88:$A$146)-1,0):INDEX(B$88:B$146,COUNT($A$88:$A$146)-$A155,0))</f>
        <v>2390806.5</v>
      </c>
      <c r="C155" s="227"/>
      <c r="D155" s="558">
        <f>MEDIAN(INDEX(D$88:D$146,COUNT($A$88:$A$146)-1,0):INDEX(D$88:D$146,COUNT($A$88:$A$146)-$A155,0))</f>
        <v>400712</v>
      </c>
      <c r="E155" s="227"/>
      <c r="F155" s="558">
        <f>MEDIAN(INDEX(F$88:F$146,COUNT($A$88:$A$146)-1,0):INDEX(F$88:F$146,COUNT($A$88:$A$146)-$A155,0))</f>
        <v>2778687</v>
      </c>
      <c r="G155" s="227"/>
      <c r="H155" s="227"/>
      <c r="I155" s="227"/>
      <c r="J155" s="558">
        <f>MEDIAN(INDEX(J$88:J$146,COUNT($A$88:$A$146)-1,0):INDEX(J$88:J$146,COUNT($A$88:$A$146)-$A155,0))</f>
        <v>1290223.0882952539</v>
      </c>
      <c r="K155" s="227"/>
      <c r="L155" s="558">
        <f>MEDIAN(INDEX(L$88:L$146,COUNT($A$88:$A$146)-1,0):INDEX(L$88:L$146,COUNT($A$88:$A$146)-$A155,0))</f>
        <v>185803</v>
      </c>
      <c r="M155" s="227"/>
      <c r="N155" s="558">
        <f>MEDIAN(INDEX(N$88:N$146,COUNT($A$88:$A$146)-1,0):INDEX(N$88:N$146,COUNT($A$88:$A$146)-$A155,0))</f>
        <v>1560985</v>
      </c>
      <c r="O155" s="227"/>
      <c r="P155" s="227"/>
      <c r="Q155" s="227"/>
      <c r="R155" s="558">
        <f>MEDIAN(INDEX(R$88:R$146,COUNT($A$88:$A$146)-1,0):INDEX(R$88:R$146,COUNT($A$88:$A$146)-$A155,0))</f>
        <v>593604.5</v>
      </c>
      <c r="S155" s="227"/>
      <c r="T155" s="558">
        <f>MEDIAN(INDEX(T$88:T$146,COUNT($A$88:$A$146)-1,0):INDEX(T$88:T$146,COUNT($A$88:$A$146)-$A155,0))</f>
        <v>71063.5</v>
      </c>
      <c r="U155" s="227"/>
      <c r="V155" s="558">
        <f>MEDIAN(INDEX(V$88:V$146,COUNT($A$88:$A$146)-1,0):INDEX(V$88:V$146,COUNT($A$88:$A$146)-$A155,0))</f>
        <v>681306</v>
      </c>
      <c r="W155" s="227"/>
      <c r="X155" s="227"/>
      <c r="Y155" s="558">
        <f>MEDIAN(INDEX(Y$88:Y$146,COUNT($A$88:$A$146)-1,0):INDEX(Y$88:Y$146,COUNT($A$88:$A$146)-$A155,0))</f>
        <v>886129.5</v>
      </c>
      <c r="AZ155" s="414"/>
    </row>
    <row r="156" spans="1:52">
      <c r="A156" s="227">
        <v>20</v>
      </c>
      <c r="B156" s="558">
        <f>MEDIAN(INDEX(B$88:B$146,COUNT($A$88:$A$146)-1,0):INDEX(B$88:B$146,COUNT($A$88:$A$146)-$A156,0))</f>
        <v>1904794.75</v>
      </c>
      <c r="C156" s="227"/>
      <c r="D156" s="558">
        <f>MEDIAN(INDEX(D$88:D$146,COUNT($A$88:$A$146)-1,0):INDEX(D$88:D$146,COUNT($A$88:$A$146)-$A156,0))</f>
        <v>411205.75</v>
      </c>
      <c r="E156" s="227"/>
      <c r="F156" s="558">
        <f>MEDIAN(INDEX(F$88:F$146,COUNT($A$88:$A$146)-1,0):INDEX(F$88:F$146,COUNT($A$88:$A$146)-$A156,0))</f>
        <v>2325801.8986133151</v>
      </c>
      <c r="G156" s="227"/>
      <c r="H156" s="227"/>
      <c r="I156" s="227"/>
      <c r="J156" s="558">
        <f>MEDIAN(INDEX(J$88:J$146,COUNT($A$88:$A$146)-1,0):INDEX(J$88:J$146,COUNT($A$88:$A$146)-$A156,0))</f>
        <v>1127804.6080699658</v>
      </c>
      <c r="K156" s="227"/>
      <c r="L156" s="558">
        <f>MEDIAN(INDEX(L$88:L$146,COUNT($A$88:$A$146)-1,0):INDEX(L$88:L$146,COUNT($A$88:$A$146)-$A156,0))</f>
        <v>237319.5</v>
      </c>
      <c r="M156" s="227"/>
      <c r="N156" s="558">
        <f>MEDIAN(INDEX(N$88:N$146,COUNT($A$88:$A$146)-1,0):INDEX(N$88:N$146,COUNT($A$88:$A$146)-$A156,0))</f>
        <v>1340754.5</v>
      </c>
      <c r="O156" s="227"/>
      <c r="P156" s="227"/>
      <c r="Q156" s="227"/>
      <c r="R156" s="558">
        <f>MEDIAN(INDEX(R$88:R$146,COUNT($A$88:$A$146)-1,0):INDEX(R$88:R$146,COUNT($A$88:$A$146)-$A156,0))</f>
        <v>527140.15028025361</v>
      </c>
      <c r="S156" s="227"/>
      <c r="T156" s="558">
        <f>MEDIAN(INDEX(T$88:T$146,COUNT($A$88:$A$146)-1,0):INDEX(T$88:T$146,COUNT($A$88:$A$146)-$A156,0))</f>
        <v>73327.5</v>
      </c>
      <c r="U156" s="227"/>
      <c r="V156" s="558">
        <f>MEDIAN(INDEX(V$88:V$146,COUNT($A$88:$A$146)-1,0):INDEX(V$88:V$146,COUNT($A$88:$A$146)-$A156,0))</f>
        <v>598013</v>
      </c>
      <c r="W156" s="227"/>
      <c r="X156" s="227"/>
      <c r="Y156" s="558">
        <f>MEDIAN(INDEX(Y$88:Y$146,COUNT($A$88:$A$146)-1,0):INDEX(Y$88:Y$146,COUNT($A$88:$A$146)-$A156,0))</f>
        <v>831609.65028025361</v>
      </c>
      <c r="AZ156" s="414"/>
    </row>
    <row r="157" spans="1:52">
      <c r="A157" s="701">
        <v>30</v>
      </c>
      <c r="B157" s="930">
        <f>MEDIAN(INDEX(B$88:B$146,COUNT($A$88:$A$146)-1,0):INDEX(B$88:B$146,COUNT($A$88:$A$146)-$A157,0))</f>
        <v>1777074.4607336391</v>
      </c>
      <c r="C157" s="701"/>
      <c r="D157" s="930">
        <f>MEDIAN(INDEX(D$88:D$146,COUNT($A$88:$A$146)-1,0):INDEX(D$88:D$146,COUNT($A$88:$A$146)-$A157,0))</f>
        <v>238955.75</v>
      </c>
      <c r="E157" s="701"/>
      <c r="F157" s="930">
        <f>MEDIAN(INDEX(F$88:F$146,COUNT($A$88:$A$146)-1,0):INDEX(F$88:F$146,COUNT($A$88:$A$146)-$A157,0))</f>
        <v>2030841.1416980978</v>
      </c>
      <c r="G157" s="701"/>
      <c r="H157" s="701"/>
      <c r="I157" s="701"/>
      <c r="J157" s="930">
        <f>MEDIAN(INDEX(J$88:J$146,COUNT($A$88:$A$146)-1,0):INDEX(J$88:J$146,COUNT($A$88:$A$146)-$A157,0))</f>
        <v>1058913.3740619677</v>
      </c>
      <c r="K157" s="701"/>
      <c r="L157" s="930">
        <f>MEDIAN(INDEX(L$88:L$146,COUNT($A$88:$A$146)-1,0):INDEX(L$88:L$146,COUNT($A$88:$A$146)-$A157,0))</f>
        <v>148843.88797093378</v>
      </c>
      <c r="M157" s="701"/>
      <c r="N157" s="930">
        <f>MEDIAN(INDEX(N$88:N$146,COUNT($A$88:$A$146)-1,0):INDEX(N$88:N$146,COUNT($A$88:$A$146)-$A157,0))</f>
        <v>1229033.5</v>
      </c>
      <c r="O157" s="701"/>
      <c r="P157" s="701"/>
      <c r="Q157" s="701"/>
      <c r="R157" s="930">
        <f>MEDIAN(INDEX(R$88:R$146,COUNT($A$88:$A$146)-1,0):INDEX(R$88:R$146,COUNT($A$88:$A$146)-$A157,0))</f>
        <v>479132.18921246455</v>
      </c>
      <c r="S157" s="701"/>
      <c r="T157" s="930">
        <f>MEDIAN(INDEX(T$88:T$146,COUNT($A$88:$A$146)-1,0):INDEX(T$88:T$146,COUNT($A$88:$A$146)-$A157,0))</f>
        <v>73425</v>
      </c>
      <c r="U157" s="701"/>
      <c r="V157" s="930">
        <f>MEDIAN(INDEX(V$88:V$146,COUNT($A$88:$A$146)-1,0):INDEX(V$88:V$146,COUNT($A$88:$A$146)-$A157,0))</f>
        <v>550356.39861331484</v>
      </c>
      <c r="W157" s="701"/>
      <c r="X157" s="701"/>
      <c r="Y157" s="930">
        <f>MEDIAN(INDEX(Y$88:Y$146,COUNT($A$88:$A$146)-1,0):INDEX(Y$88:Y$146,COUNT($A$88:$A$146)-$A157,0))</f>
        <v>745864.69573355792</v>
      </c>
      <c r="AZ157" s="414"/>
    </row>
    <row r="158" spans="1:52">
      <c r="AZ158" s="414"/>
    </row>
    <row r="159" spans="1:52">
      <c r="AZ159" s="414"/>
    </row>
    <row r="160" spans="1:52">
      <c r="B160" s="414"/>
      <c r="F160" s="414"/>
      <c r="N160" s="414"/>
      <c r="AZ160" s="414"/>
    </row>
    <row r="161" spans="2:52">
      <c r="B161" s="993"/>
      <c r="D161" s="992"/>
      <c r="F161" s="995"/>
      <c r="O161" s="414"/>
      <c r="AZ161" s="414"/>
    </row>
    <row r="162" spans="2:52">
      <c r="D162" s="992"/>
      <c r="O162" s="414"/>
      <c r="AZ162" s="414"/>
    </row>
    <row r="163" spans="2:52">
      <c r="B163" s="994"/>
      <c r="D163" s="992"/>
      <c r="O163" s="414"/>
      <c r="AZ163" s="414"/>
    </row>
    <row r="164" spans="2:52">
      <c r="D164" s="992"/>
      <c r="O164" s="414"/>
      <c r="AZ164" s="414"/>
    </row>
    <row r="165" spans="2:52">
      <c r="O165" s="414"/>
      <c r="AZ165" s="414"/>
    </row>
    <row r="166" spans="2:52">
      <c r="O166" s="414"/>
      <c r="AZ166" s="414"/>
    </row>
    <row r="167" spans="2:52">
      <c r="O167" s="414"/>
      <c r="AZ167" s="414"/>
    </row>
    <row r="168" spans="2:52">
      <c r="O168" s="414"/>
      <c r="AZ168" s="414"/>
    </row>
    <row r="169" spans="2:52">
      <c r="O169" s="414"/>
      <c r="AZ169" s="414"/>
    </row>
    <row r="170" spans="2:52">
      <c r="O170" s="414"/>
      <c r="AZ170" s="414"/>
    </row>
    <row r="171" spans="2:52">
      <c r="O171" s="414"/>
      <c r="AZ171" s="414"/>
    </row>
    <row r="172" spans="2:52">
      <c r="O172" s="414"/>
    </row>
    <row r="173" spans="2:52">
      <c r="O173" s="414"/>
    </row>
    <row r="174" spans="2:52">
      <c r="O174" s="414"/>
    </row>
    <row r="175" spans="2:52">
      <c r="O175" s="414"/>
    </row>
    <row r="176" spans="2:52">
      <c r="O176" s="414"/>
    </row>
    <row r="177" spans="15:15">
      <c r="O177" s="414"/>
    </row>
    <row r="178" spans="15:15">
      <c r="O178" s="414"/>
    </row>
    <row r="179" spans="15:15">
      <c r="O179" s="414"/>
    </row>
    <row r="180" spans="15:15">
      <c r="O180" s="414"/>
    </row>
    <row r="181" spans="15:15">
      <c r="O181" s="414"/>
    </row>
    <row r="182" spans="15:15">
      <c r="O182" s="414"/>
    </row>
    <row r="183" spans="15:15">
      <c r="O183" s="414"/>
    </row>
    <row r="184" spans="15:15">
      <c r="O184" s="414"/>
    </row>
    <row r="185" spans="15:15">
      <c r="O185" s="414"/>
    </row>
    <row r="186" spans="15:15">
      <c r="O186" s="414"/>
    </row>
    <row r="187" spans="15:15">
      <c r="O187" s="414"/>
    </row>
    <row r="188" spans="15:15">
      <c r="O188" s="414"/>
    </row>
  </sheetData>
  <dataConsolidate/>
  <mergeCells count="4">
    <mergeCell ref="AA15:AB15"/>
    <mergeCell ref="AC15:AD15"/>
    <mergeCell ref="AA13:AD13"/>
    <mergeCell ref="BC15:BE15"/>
  </mergeCells>
  <phoneticPr fontId="60" type="noConversion"/>
  <hyperlinks>
    <hyperlink ref="E3" r:id="rId1"/>
    <hyperlink ref="E7" r:id="rId2"/>
    <hyperlink ref="E8" r:id="rId3"/>
    <hyperlink ref="E4" r:id="rId4"/>
    <hyperlink ref="E6" r:id="rId5"/>
    <hyperlink ref="E9" r:id="rId6"/>
    <hyperlink ref="E5" r:id="rId7"/>
  </hyperlinks>
  <pageMargins left="0.75" right="0.5" top="1" bottom="0.5" header="0.5" footer="0.5"/>
  <pageSetup scale="60" orientation="landscape" r:id="rId8"/>
  <headerFooter alignWithMargins="0"/>
  <drawing r:id="rId9"/>
  <legacyDrawing r:id="rId1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A1:L34"/>
  <sheetViews>
    <sheetView view="pageBreakPreview" zoomScaleNormal="75" zoomScaleSheetLayoutView="100" workbookViewId="0">
      <selection activeCell="F12" sqref="F12"/>
    </sheetView>
  </sheetViews>
  <sheetFormatPr defaultRowHeight="15"/>
  <cols>
    <col min="1" max="2" width="9.88671875" customWidth="1"/>
    <col min="3" max="3" width="10.6640625" customWidth="1"/>
    <col min="4" max="4" width="30.5546875" customWidth="1"/>
    <col min="5" max="6" width="10.77734375" customWidth="1"/>
    <col min="7" max="7" width="11.5546875" customWidth="1"/>
    <col min="8" max="8" width="1.77734375" customWidth="1"/>
    <col min="9" max="9" width="13.77734375" customWidth="1"/>
  </cols>
  <sheetData>
    <row r="1" spans="1:10" ht="15.75">
      <c r="A1" s="671" t="str">
        <f ca="1">CELL("filename",A1)</f>
        <v>O:\DCF\SALMON\FORECAST\2015\[2015_Copper River Wild Sockeye forecast_FINAL.xlsm]Forecast by Age</v>
      </c>
      <c r="B1" s="6"/>
      <c r="C1" s="6"/>
      <c r="D1" s="6"/>
      <c r="E1" s="6"/>
      <c r="F1" s="6"/>
      <c r="G1" s="6"/>
      <c r="H1" s="6"/>
      <c r="I1" s="6"/>
      <c r="J1" s="6"/>
    </row>
    <row r="2" spans="1:10" ht="7.5" customHeight="1">
      <c r="A2" s="671"/>
      <c r="B2" s="6"/>
      <c r="C2" s="6"/>
      <c r="D2" s="6"/>
      <c r="E2" s="6"/>
      <c r="F2" s="6"/>
      <c r="G2" s="6"/>
      <c r="H2" s="6"/>
      <c r="I2" s="6"/>
      <c r="J2" s="6"/>
    </row>
    <row r="3" spans="1:10" ht="15.75">
      <c r="A3" s="6"/>
      <c r="B3" s="821" t="s">
        <v>491</v>
      </c>
      <c r="C3" s="822">
        <v>2015</v>
      </c>
      <c r="D3" s="6"/>
      <c r="E3" s="6"/>
      <c r="F3" s="6"/>
      <c r="G3" s="6"/>
      <c r="H3" s="6"/>
      <c r="I3" s="6"/>
      <c r="J3" s="6"/>
    </row>
    <row r="4" spans="1:10" ht="9" customHeight="1">
      <c r="A4" s="6"/>
      <c r="B4" s="6"/>
      <c r="C4" s="6"/>
      <c r="D4" s="6"/>
      <c r="E4" s="6"/>
      <c r="F4" s="6"/>
      <c r="G4" s="6"/>
      <c r="H4" s="6"/>
      <c r="I4" s="6"/>
      <c r="J4" s="6"/>
    </row>
    <row r="5" spans="1:10" ht="20.25">
      <c r="A5" s="846" t="s">
        <v>515</v>
      </c>
      <c r="B5" s="846" t="s">
        <v>618</v>
      </c>
      <c r="C5" s="6"/>
      <c r="D5" s="6"/>
      <c r="E5" s="6"/>
      <c r="F5" s="6"/>
      <c r="G5" s="6"/>
      <c r="H5" s="6"/>
      <c r="I5" s="6"/>
      <c r="J5" s="6"/>
    </row>
    <row r="6" spans="1:10" ht="15.75">
      <c r="A6" s="6"/>
      <c r="B6" s="6"/>
      <c r="C6" s="6"/>
      <c r="D6" s="6"/>
      <c r="E6" s="6"/>
      <c r="F6" s="6"/>
      <c r="G6" s="6"/>
      <c r="H6" s="6"/>
      <c r="I6" s="6"/>
      <c r="J6" s="6"/>
    </row>
    <row r="7" spans="1:10" ht="15.75">
      <c r="A7" s="823" t="s">
        <v>498</v>
      </c>
      <c r="B7" s="824"/>
      <c r="C7" s="824"/>
      <c r="D7" s="824"/>
      <c r="E7" s="825"/>
      <c r="F7" s="825"/>
      <c r="G7" s="825"/>
      <c r="H7" s="824"/>
      <c r="I7" s="826" t="s">
        <v>496</v>
      </c>
      <c r="J7" s="6"/>
    </row>
    <row r="8" spans="1:10" ht="15.75">
      <c r="A8" s="827" t="s">
        <v>486</v>
      </c>
      <c r="B8" s="828" t="s">
        <v>485</v>
      </c>
      <c r="C8" s="828" t="s">
        <v>492</v>
      </c>
      <c r="D8" s="828" t="s">
        <v>284</v>
      </c>
      <c r="E8" s="829" t="s">
        <v>493</v>
      </c>
      <c r="F8" s="829" t="s">
        <v>24</v>
      </c>
      <c r="G8" s="829" t="s">
        <v>494</v>
      </c>
      <c r="H8" s="827"/>
      <c r="I8" s="830" t="s">
        <v>323</v>
      </c>
      <c r="J8" s="6"/>
    </row>
    <row r="9" spans="1:10" ht="15.75">
      <c r="A9" s="667">
        <f t="shared" ref="A9:A14" si="0">$C$3-C9</f>
        <v>2012</v>
      </c>
      <c r="B9" s="831">
        <v>1.1000000000000001</v>
      </c>
      <c r="C9" s="831">
        <v>3</v>
      </c>
      <c r="D9" s="6" t="s">
        <v>495</v>
      </c>
      <c r="E9" s="832">
        <f>'Fcst Sumry'!D10</f>
        <v>0</v>
      </c>
      <c r="F9" s="832">
        <f>'Fcst Sumry'!$C10</f>
        <v>4792.9841587990059</v>
      </c>
      <c r="G9" s="832">
        <f>'Fcst Sumry'!E10</f>
        <v>9606.8320282884088</v>
      </c>
      <c r="H9" s="6"/>
      <c r="I9" s="833">
        <f t="shared" ref="I9:I14" si="1">F9/$F$15</f>
        <v>1.7451890253104595E-3</v>
      </c>
      <c r="J9" s="6"/>
    </row>
    <row r="10" spans="1:10" ht="15.75">
      <c r="A10" s="667">
        <f t="shared" si="0"/>
        <v>2011</v>
      </c>
      <c r="B10" s="831">
        <v>0.3</v>
      </c>
      <c r="C10" s="831">
        <v>4</v>
      </c>
      <c r="D10" s="671" t="str">
        <f>D9</f>
        <v>Average BY return (last 5 years)</v>
      </c>
      <c r="E10" s="832">
        <f>'Fcst Sumry'!D11</f>
        <v>19775.211655559466</v>
      </c>
      <c r="F10" s="832">
        <f>'Fcst Sumry'!$C11</f>
        <v>41790.969273723545</v>
      </c>
      <c r="G10" s="832">
        <f>'Fcst Sumry'!E11</f>
        <v>63806.726891887622</v>
      </c>
      <c r="H10" s="6"/>
      <c r="I10" s="833">
        <f t="shared" si="1"/>
        <v>1.521664552128711E-2</v>
      </c>
      <c r="J10" s="6"/>
    </row>
    <row r="11" spans="1:10" ht="15.75">
      <c r="A11" s="667">
        <f t="shared" si="0"/>
        <v>2011</v>
      </c>
      <c r="B11" s="666">
        <v>1.2</v>
      </c>
      <c r="C11" s="666">
        <v>4</v>
      </c>
      <c r="D11" s="671" t="str">
        <f>'Fcst Sumry'!F14</f>
        <v>ln12 x ln11</v>
      </c>
      <c r="E11" s="832">
        <f>'Fcst Sumry'!H14</f>
        <v>87296.637567101774</v>
      </c>
      <c r="F11" s="832">
        <f>'Fcst Sumry'!$G14</f>
        <v>219092.3535968111</v>
      </c>
      <c r="G11" s="832">
        <f>'Fcst Sumry'!I14</f>
        <v>549866.0743684785</v>
      </c>
      <c r="H11" s="6"/>
      <c r="I11" s="833">
        <f t="shared" si="1"/>
        <v>7.977442828068973E-2</v>
      </c>
      <c r="J11" s="6"/>
    </row>
    <row r="12" spans="1:10" ht="15.75">
      <c r="A12" s="667">
        <f t="shared" si="0"/>
        <v>2010</v>
      </c>
      <c r="B12" s="666">
        <v>1.3</v>
      </c>
      <c r="C12" s="666">
        <v>5</v>
      </c>
      <c r="D12" s="671" t="str">
        <f>'Fcst Sumry'!F19</f>
        <v>13x12(untransformed)</v>
      </c>
      <c r="E12" s="832">
        <f>'Fcst Sumry'!H19</f>
        <v>1790430.3751309505</v>
      </c>
      <c r="F12" s="832">
        <f>'Fcst Sumry'!G19</f>
        <v>2263895.6102893078</v>
      </c>
      <c r="G12" s="832">
        <f>'Fcst Sumry'!I19</f>
        <v>2737360.8454476651</v>
      </c>
      <c r="H12" s="6"/>
      <c r="I12" s="833">
        <f t="shared" si="1"/>
        <v>0.82431438173486926</v>
      </c>
      <c r="J12" s="6"/>
    </row>
    <row r="13" spans="1:10" ht="15.75">
      <c r="A13" s="667">
        <f t="shared" si="0"/>
        <v>2010</v>
      </c>
      <c r="B13" s="666">
        <v>2.2000000000000002</v>
      </c>
      <c r="C13" s="666">
        <v>5</v>
      </c>
      <c r="D13" s="671" t="str">
        <f>'Fcst Sumry'!F21</f>
        <v>ln22 x ln12</v>
      </c>
      <c r="E13" s="832">
        <f>'Fcst Sumry'!H21</f>
        <v>16984.860618324954</v>
      </c>
      <c r="F13" s="832">
        <f>'Fcst Sumry'!$G21</f>
        <v>40119.843364903849</v>
      </c>
      <c r="G13" s="832">
        <f>'Fcst Sumry'!I21</f>
        <v>94766.855483513413</v>
      </c>
      <c r="H13" s="6"/>
      <c r="I13" s="833">
        <f t="shared" si="1"/>
        <v>1.4608166440330814E-2</v>
      </c>
      <c r="J13" s="6"/>
    </row>
    <row r="14" spans="1:10" ht="15.75">
      <c r="A14" s="667">
        <f t="shared" si="0"/>
        <v>2009</v>
      </c>
      <c r="B14" s="666">
        <v>2.2999999999999998</v>
      </c>
      <c r="C14" s="666">
        <v>6</v>
      </c>
      <c r="D14" s="671" t="str">
        <f>D10</f>
        <v>Average BY return (last 5 years)</v>
      </c>
      <c r="E14" s="832">
        <f>'Fcst Sumry'!D22</f>
        <v>162515.68564099455</v>
      </c>
      <c r="F14" s="832">
        <f>'Fcst Sumry'!$C22</f>
        <v>176706.53158531699</v>
      </c>
      <c r="G14" s="832">
        <f>'Fcst Sumry'!E22</f>
        <v>190897.37752963943</v>
      </c>
      <c r="H14" s="6"/>
      <c r="I14" s="833">
        <f t="shared" si="1"/>
        <v>6.4341188997512705E-2</v>
      </c>
      <c r="J14" s="6"/>
    </row>
    <row r="15" spans="1:10" ht="15.75">
      <c r="A15" s="834"/>
      <c r="B15" s="834"/>
      <c r="C15" s="834"/>
      <c r="D15" s="835" t="s">
        <v>497</v>
      </c>
      <c r="E15" s="836">
        <f>'Fcst Sumry'!H51</f>
        <v>1961954.6001031823</v>
      </c>
      <c r="F15" s="836">
        <f>SUM(F9:F14)</f>
        <v>2746398.292268862</v>
      </c>
      <c r="G15" s="836">
        <f>'Fcst Sumry'!I51</f>
        <v>3530841.9844345418</v>
      </c>
      <c r="H15" s="834"/>
      <c r="I15" s="834"/>
      <c r="J15" s="6"/>
    </row>
    <row r="16" spans="1:10" ht="15.75">
      <c r="A16" s="6"/>
      <c r="B16" s="666"/>
      <c r="C16" s="666"/>
      <c r="D16" s="6"/>
      <c r="E16" s="6"/>
      <c r="F16" s="6"/>
      <c r="G16" s="6"/>
      <c r="H16" s="6"/>
      <c r="I16" s="6"/>
      <c r="J16" s="6"/>
    </row>
    <row r="17" spans="1:12" ht="15.75">
      <c r="A17" s="823" t="s">
        <v>499</v>
      </c>
      <c r="B17" s="826"/>
      <c r="C17" s="826"/>
      <c r="D17" s="824"/>
      <c r="E17" s="825"/>
      <c r="F17" s="825"/>
      <c r="G17" s="825"/>
      <c r="H17" s="824"/>
      <c r="I17" s="826" t="s">
        <v>496</v>
      </c>
      <c r="J17" s="6"/>
    </row>
    <row r="18" spans="1:12" ht="15.75">
      <c r="A18" s="827" t="s">
        <v>500</v>
      </c>
      <c r="B18" s="828" t="s">
        <v>485</v>
      </c>
      <c r="C18" s="828" t="s">
        <v>492</v>
      </c>
      <c r="D18" s="255" t="s">
        <v>284</v>
      </c>
      <c r="E18" s="829" t="s">
        <v>493</v>
      </c>
      <c r="F18" s="829" t="s">
        <v>24</v>
      </c>
      <c r="G18" s="829" t="s">
        <v>494</v>
      </c>
      <c r="H18" s="827"/>
      <c r="I18" s="830" t="s">
        <v>323</v>
      </c>
      <c r="J18" s="6"/>
      <c r="L18" s="275"/>
    </row>
    <row r="19" spans="1:12" ht="15.75">
      <c r="A19" s="837">
        <f>$C$3-C19</f>
        <v>2011</v>
      </c>
      <c r="B19" s="838">
        <v>1.2</v>
      </c>
      <c r="C19" s="838">
        <v>4</v>
      </c>
      <c r="D19" s="824" t="s">
        <v>612</v>
      </c>
      <c r="E19" s="838" t="s">
        <v>359</v>
      </c>
      <c r="F19" s="839">
        <f>'Fry to adult survival'!E60</f>
        <v>75799.684150716057</v>
      </c>
      <c r="G19" s="838" t="s">
        <v>359</v>
      </c>
      <c r="H19" s="255"/>
      <c r="I19" s="833">
        <f>F19/$F$21</f>
        <v>0.17</v>
      </c>
      <c r="J19" s="6"/>
    </row>
    <row r="20" spans="1:12" ht="15.75">
      <c r="A20" s="840">
        <f>$C$3-C20</f>
        <v>2010</v>
      </c>
      <c r="B20" s="828">
        <v>1.3</v>
      </c>
      <c r="C20" s="828">
        <v>5</v>
      </c>
      <c r="D20" s="827" t="s">
        <v>612</v>
      </c>
      <c r="E20" s="838" t="s">
        <v>359</v>
      </c>
      <c r="F20" s="841">
        <f>'Fry to adult survival'!F60</f>
        <v>370080.81085349602</v>
      </c>
      <c r="G20" s="838" t="s">
        <v>359</v>
      </c>
      <c r="H20" s="827"/>
      <c r="I20" s="833">
        <f>F20/$F$21</f>
        <v>0.83</v>
      </c>
      <c r="J20" s="6"/>
    </row>
    <row r="21" spans="1:12" ht="15.75">
      <c r="A21" s="834"/>
      <c r="B21" s="834"/>
      <c r="C21" s="834"/>
      <c r="D21" s="828" t="s">
        <v>501</v>
      </c>
      <c r="E21" s="836">
        <f>'Fcst Sumry'!H45</f>
        <v>318525.28117730073</v>
      </c>
      <c r="F21" s="836">
        <f>SUM(F19:F20)</f>
        <v>445880.49500421208</v>
      </c>
      <c r="G21" s="836">
        <f>'Fcst Sumry'!I45</f>
        <v>573235.70883112343</v>
      </c>
      <c r="H21" s="834"/>
      <c r="I21" s="834"/>
      <c r="J21" s="6"/>
    </row>
    <row r="22" spans="1:12" ht="15.75">
      <c r="A22" s="6"/>
      <c r="B22" s="6"/>
      <c r="C22" s="666"/>
      <c r="D22" s="6"/>
      <c r="E22" s="6"/>
      <c r="F22" s="6"/>
      <c r="G22" s="6"/>
      <c r="H22" s="6"/>
      <c r="I22" s="6"/>
      <c r="J22" s="6"/>
    </row>
    <row r="23" spans="1:12" ht="15.75">
      <c r="A23" s="823" t="s">
        <v>352</v>
      </c>
      <c r="B23" s="826"/>
      <c r="C23" s="826"/>
      <c r="D23" s="824"/>
      <c r="E23" s="825"/>
      <c r="F23" s="825"/>
      <c r="G23" s="825"/>
      <c r="H23" s="824"/>
      <c r="I23" s="826" t="s">
        <v>496</v>
      </c>
      <c r="J23" s="6"/>
    </row>
    <row r="24" spans="1:12" ht="15.75">
      <c r="A24" s="827" t="s">
        <v>500</v>
      </c>
      <c r="B24" s="828" t="s">
        <v>485</v>
      </c>
      <c r="C24" s="828" t="s">
        <v>492</v>
      </c>
      <c r="D24" s="827" t="s">
        <v>284</v>
      </c>
      <c r="E24" s="829" t="s">
        <v>493</v>
      </c>
      <c r="F24" s="829" t="s">
        <v>24</v>
      </c>
      <c r="G24" s="829" t="s">
        <v>494</v>
      </c>
      <c r="H24" s="827"/>
      <c r="I24" s="830" t="s">
        <v>323</v>
      </c>
      <c r="J24" s="6"/>
    </row>
    <row r="25" spans="1:12" ht="15.75">
      <c r="A25" s="837">
        <f>A9</f>
        <v>2012</v>
      </c>
      <c r="B25" s="837">
        <f>B9</f>
        <v>1.1000000000000001</v>
      </c>
      <c r="C25" s="837">
        <f>C9</f>
        <v>3</v>
      </c>
      <c r="D25" s="843" t="str">
        <f>D9</f>
        <v>Average BY return (last 5 years)</v>
      </c>
      <c r="E25" s="847" t="s">
        <v>359</v>
      </c>
      <c r="F25" s="842">
        <f>F9</f>
        <v>4792.9841587990059</v>
      </c>
      <c r="G25" s="847" t="s">
        <v>359</v>
      </c>
      <c r="H25" s="843"/>
      <c r="I25" s="844">
        <f t="shared" ref="I25:I30" si="2">F25/$F$31</f>
        <v>1.5014303192777516E-3</v>
      </c>
      <c r="J25" s="6"/>
    </row>
    <row r="26" spans="1:12" ht="15.75">
      <c r="A26" s="837">
        <f t="shared" ref="A26:B30" si="3">A10</f>
        <v>2011</v>
      </c>
      <c r="B26" s="837">
        <f t="shared" si="3"/>
        <v>0.3</v>
      </c>
      <c r="C26" s="837">
        <f>C10</f>
        <v>4</v>
      </c>
      <c r="D26" s="843" t="str">
        <f>D10</f>
        <v>Average BY return (last 5 years)</v>
      </c>
      <c r="E26" s="847" t="s">
        <v>359</v>
      </c>
      <c r="F26" s="839">
        <f>F10</f>
        <v>41790.969273723545</v>
      </c>
      <c r="G26" s="847" t="s">
        <v>359</v>
      </c>
      <c r="H26" s="843"/>
      <c r="I26" s="844">
        <f t="shared" si="2"/>
        <v>1.3091265537438368E-2</v>
      </c>
      <c r="J26" s="6"/>
    </row>
    <row r="27" spans="1:12" ht="15.75">
      <c r="A27" s="837">
        <f t="shared" si="3"/>
        <v>2011</v>
      </c>
      <c r="B27" s="837">
        <f t="shared" si="3"/>
        <v>1.2</v>
      </c>
      <c r="C27" s="837">
        <f>C11</f>
        <v>4</v>
      </c>
      <c r="D27" s="255" t="s">
        <v>516</v>
      </c>
      <c r="E27" s="847" t="s">
        <v>359</v>
      </c>
      <c r="F27" s="839">
        <f>F11+F19</f>
        <v>294892.03774752712</v>
      </c>
      <c r="G27" s="847" t="s">
        <v>359</v>
      </c>
      <c r="H27" s="843"/>
      <c r="I27" s="844">
        <f t="shared" si="2"/>
        <v>9.2376655486105394E-2</v>
      </c>
      <c r="J27" s="6"/>
    </row>
    <row r="28" spans="1:12" ht="15.75">
      <c r="A28" s="837">
        <f t="shared" si="3"/>
        <v>2010</v>
      </c>
      <c r="B28" s="837">
        <f t="shared" si="3"/>
        <v>1.3</v>
      </c>
      <c r="C28" s="837">
        <f>C12</f>
        <v>5</v>
      </c>
      <c r="D28" s="255" t="s">
        <v>516</v>
      </c>
      <c r="E28" s="847" t="s">
        <v>359</v>
      </c>
      <c r="F28" s="839">
        <f>F12+F20</f>
        <v>2633976.421142804</v>
      </c>
      <c r="G28" s="847" t="s">
        <v>359</v>
      </c>
      <c r="H28" s="843"/>
      <c r="I28" s="844">
        <f t="shared" si="2"/>
        <v>0.82510851860554868</v>
      </c>
      <c r="J28" s="6"/>
    </row>
    <row r="29" spans="1:12" ht="15.75">
      <c r="A29" s="837">
        <f t="shared" si="3"/>
        <v>2010</v>
      </c>
      <c r="B29" s="837">
        <f t="shared" si="3"/>
        <v>2.2000000000000002</v>
      </c>
      <c r="C29" s="837">
        <f>C13</f>
        <v>5</v>
      </c>
      <c r="D29" s="843" t="str">
        <f>D13</f>
        <v>ln22 x ln12</v>
      </c>
      <c r="E29" s="847" t="s">
        <v>359</v>
      </c>
      <c r="F29" s="839">
        <f>F13</f>
        <v>40119.843364903849</v>
      </c>
      <c r="G29" s="847" t="s">
        <v>359</v>
      </c>
      <c r="H29" s="843"/>
      <c r="I29" s="844">
        <f t="shared" si="2"/>
        <v>1.2567775573002269E-2</v>
      </c>
      <c r="J29" s="6"/>
    </row>
    <row r="30" spans="1:12" ht="15.75">
      <c r="A30" s="840">
        <f t="shared" si="3"/>
        <v>2009</v>
      </c>
      <c r="B30" s="840">
        <f t="shared" si="3"/>
        <v>2.2999999999999998</v>
      </c>
      <c r="C30" s="840">
        <f>C14</f>
        <v>6</v>
      </c>
      <c r="D30" s="845" t="str">
        <f>D14</f>
        <v>Average BY return (last 5 years)</v>
      </c>
      <c r="E30" s="847" t="s">
        <v>359</v>
      </c>
      <c r="F30" s="841">
        <f>F14</f>
        <v>176706.53158531699</v>
      </c>
      <c r="G30" s="847" t="s">
        <v>359</v>
      </c>
      <c r="H30" s="845"/>
      <c r="I30" s="844">
        <f t="shared" si="2"/>
        <v>5.5354354478627535E-2</v>
      </c>
      <c r="J30" s="6"/>
    </row>
    <row r="31" spans="1:12" ht="15.75">
      <c r="A31" s="834"/>
      <c r="B31" s="834"/>
      <c r="C31" s="834"/>
      <c r="D31" s="977" t="s">
        <v>551</v>
      </c>
      <c r="E31" s="836">
        <f>'Fcst Sumry'!H96</f>
        <v>2280479.8812804827</v>
      </c>
      <c r="F31" s="836">
        <f>SUM(F25:F30)</f>
        <v>3192278.7872730745</v>
      </c>
      <c r="G31" s="836">
        <f>'Fcst Sumry'!I96</f>
        <v>4104077.6932656653</v>
      </c>
      <c r="H31" s="834"/>
      <c r="I31" s="834"/>
      <c r="J31" s="6"/>
    </row>
    <row r="32" spans="1:12" ht="15.75">
      <c r="A32" s="666"/>
      <c r="B32" s="6"/>
      <c r="C32" s="6"/>
      <c r="D32" s="6"/>
      <c r="E32" s="6"/>
      <c r="F32" s="6"/>
      <c r="G32" s="6"/>
      <c r="H32" s="6"/>
      <c r="I32" s="6"/>
      <c r="J32" s="6"/>
    </row>
    <row r="33" spans="1:10" ht="15.75">
      <c r="A33" s="6"/>
      <c r="B33" s="6"/>
      <c r="C33" s="6"/>
      <c r="D33" s="6"/>
      <c r="E33" s="6"/>
      <c r="F33" s="6"/>
      <c r="G33" s="6"/>
      <c r="H33" s="6"/>
      <c r="I33" s="6"/>
      <c r="J33" s="6"/>
    </row>
    <row r="34" spans="1:10" ht="15.75">
      <c r="A34" s="6"/>
      <c r="B34" s="6"/>
      <c r="C34" s="6"/>
      <c r="D34" s="6"/>
      <c r="E34" s="6"/>
      <c r="F34" s="6"/>
      <c r="G34" s="6"/>
      <c r="H34" s="6"/>
      <c r="I34" s="6"/>
      <c r="J34" s="6"/>
    </row>
  </sheetData>
  <phoneticPr fontId="60" type="noConversion"/>
  <pageMargins left="0.75" right="0.75" top="1" bottom="1" header="0.5" footer="0.5"/>
  <pageSetup scale="92" orientation="landscape"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2:V59"/>
  <sheetViews>
    <sheetView view="pageBreakPreview" zoomScaleNormal="100" zoomScaleSheetLayoutView="100" workbookViewId="0">
      <selection activeCell="C18" sqref="C18"/>
    </sheetView>
  </sheetViews>
  <sheetFormatPr defaultRowHeight="15"/>
  <cols>
    <col min="1" max="1" width="4.33203125" customWidth="1"/>
    <col min="2" max="2" width="7.6640625" customWidth="1"/>
    <col min="3" max="3" width="5.77734375" customWidth="1"/>
    <col min="4" max="4" width="1.77734375" customWidth="1"/>
    <col min="5" max="5" width="5.77734375" customWidth="1"/>
    <col min="12" max="12" width="12" customWidth="1"/>
  </cols>
  <sheetData>
    <row r="2" spans="1:22" ht="15.75">
      <c r="E2" s="54" t="s">
        <v>562</v>
      </c>
      <c r="F2" s="988">
        <v>4</v>
      </c>
      <c r="G2" s="988">
        <v>5</v>
      </c>
      <c r="H2" s="988">
        <v>6</v>
      </c>
      <c r="I2" s="988">
        <v>9</v>
      </c>
      <c r="J2" s="988">
        <v>10</v>
      </c>
      <c r="K2" s="988">
        <v>12</v>
      </c>
    </row>
    <row r="4" spans="1:22" ht="15.75">
      <c r="A4" s="848" t="str">
        <f ca="1">CELL("filename",A4)</f>
        <v>O:\DCF\SALMON\FORECAST\2015\[2015_Copper River Wild Sockeye forecast_FINAL.xlsm]Average BY Return</v>
      </c>
      <c r="B4" s="848"/>
      <c r="C4" s="6"/>
      <c r="D4" s="6"/>
      <c r="E4" s="6"/>
      <c r="F4" s="6"/>
      <c r="G4" s="6"/>
      <c r="H4" s="6"/>
      <c r="I4" s="6"/>
      <c r="J4" s="6"/>
      <c r="K4" s="6"/>
      <c r="L4" s="6"/>
      <c r="M4" s="6"/>
      <c r="N4" s="6"/>
      <c r="O4" s="6"/>
      <c r="P4" s="6"/>
      <c r="Q4" s="6"/>
      <c r="R4" s="6"/>
      <c r="S4" s="6"/>
      <c r="T4" s="6"/>
      <c r="U4" s="6"/>
      <c r="V4" s="6"/>
    </row>
    <row r="5" spans="1:22" ht="7.5" customHeight="1">
      <c r="A5" s="6"/>
      <c r="B5" s="6"/>
      <c r="C5" s="6"/>
      <c r="D5" s="6"/>
      <c r="E5" s="6"/>
      <c r="F5" s="6"/>
      <c r="G5" s="6"/>
      <c r="H5" s="6"/>
      <c r="I5" s="6"/>
      <c r="J5" s="6"/>
      <c r="K5" s="6"/>
      <c r="L5" s="6"/>
      <c r="M5" s="6"/>
      <c r="N5" s="6"/>
      <c r="O5" s="6"/>
      <c r="P5" s="6"/>
      <c r="Q5" s="6"/>
      <c r="R5" s="6"/>
      <c r="S5" s="6"/>
      <c r="T5" s="6"/>
      <c r="U5" s="6"/>
      <c r="V5" s="6"/>
    </row>
    <row r="6" spans="1:22" ht="15.75">
      <c r="A6" s="1003" t="str">
        <f>"Table x.  Average wild sockeye salmon age class returns and "&amp; E8 &amp;" preseason forecast by age class for the Copper River."</f>
        <v>Table x.  Average wild sockeye salmon age class returns and 2015 preseason forecast by age class for the Copper River.</v>
      </c>
      <c r="B6" s="6"/>
      <c r="C6" s="6"/>
      <c r="D6" s="6"/>
      <c r="E6" s="6"/>
      <c r="F6" s="6"/>
      <c r="G6" s="6"/>
      <c r="H6" s="6"/>
      <c r="I6" s="6"/>
      <c r="J6" s="6"/>
      <c r="K6" s="6"/>
      <c r="L6" s="6"/>
      <c r="M6" s="6"/>
      <c r="N6" s="6"/>
      <c r="O6" s="6"/>
      <c r="P6" s="6"/>
      <c r="Q6" s="6"/>
      <c r="R6" s="6"/>
      <c r="S6" s="6"/>
      <c r="T6" s="6"/>
      <c r="U6" s="6"/>
      <c r="V6" s="6"/>
    </row>
    <row r="7" spans="1:22" ht="7.5" customHeight="1">
      <c r="A7" s="6"/>
      <c r="F7" s="6"/>
      <c r="G7" s="6"/>
      <c r="H7" s="6"/>
      <c r="I7" s="6"/>
      <c r="J7" s="6"/>
      <c r="K7" s="6"/>
      <c r="L7" s="6"/>
      <c r="M7" s="6"/>
      <c r="N7" s="6"/>
      <c r="O7" s="6"/>
      <c r="P7" s="6"/>
      <c r="Q7" s="6"/>
      <c r="R7" s="6"/>
      <c r="S7" s="6"/>
      <c r="T7" s="6"/>
      <c r="U7" s="6"/>
      <c r="V7" s="6"/>
    </row>
    <row r="8" spans="1:22" ht="15.75">
      <c r="A8" s="6"/>
      <c r="B8" s="6"/>
      <c r="C8" s="6"/>
      <c r="D8" s="668" t="s">
        <v>491</v>
      </c>
      <c r="E8" s="850">
        <v>2015</v>
      </c>
      <c r="F8" s="6"/>
      <c r="G8" s="6"/>
      <c r="H8" s="6"/>
      <c r="I8" s="6"/>
      <c r="J8" s="6"/>
      <c r="K8" s="6"/>
      <c r="L8" s="6"/>
      <c r="M8" s="6"/>
      <c r="N8" s="6"/>
      <c r="O8" s="6"/>
      <c r="P8" s="6"/>
      <c r="Q8" s="6"/>
      <c r="R8" s="6"/>
      <c r="S8" s="6"/>
      <c r="T8" s="6"/>
      <c r="U8" s="6"/>
      <c r="V8" s="6"/>
    </row>
    <row r="9" spans="1:22" ht="15.75">
      <c r="A9" s="824"/>
      <c r="B9" s="824"/>
      <c r="C9" s="824"/>
      <c r="D9" s="824"/>
      <c r="E9" s="824"/>
      <c r="F9" s="881" t="s">
        <v>508</v>
      </c>
      <c r="G9" s="882" t="s">
        <v>406</v>
      </c>
      <c r="H9" s="854"/>
      <c r="I9" s="882" t="s">
        <v>407</v>
      </c>
      <c r="J9" s="854"/>
      <c r="K9" s="883" t="s">
        <v>509</v>
      </c>
      <c r="L9" s="864"/>
      <c r="M9" s="6"/>
      <c r="N9" s="6"/>
      <c r="O9" s="6"/>
      <c r="P9" s="6"/>
      <c r="Q9" s="6"/>
      <c r="R9" s="6"/>
      <c r="S9" s="6"/>
      <c r="T9" s="6"/>
      <c r="U9" s="6"/>
      <c r="V9" s="6"/>
    </row>
    <row r="10" spans="1:22" ht="15.75">
      <c r="A10" s="867" t="s">
        <v>506</v>
      </c>
      <c r="B10" s="867"/>
      <c r="C10" s="829" t="s">
        <v>502</v>
      </c>
      <c r="D10" s="849" t="s">
        <v>503</v>
      </c>
      <c r="E10" s="880" t="s">
        <v>504</v>
      </c>
      <c r="F10" s="829" t="s">
        <v>226</v>
      </c>
      <c r="G10" s="829" t="s">
        <v>227</v>
      </c>
      <c r="H10" s="829" t="s">
        <v>228</v>
      </c>
      <c r="I10" s="829" t="s">
        <v>231</v>
      </c>
      <c r="J10" s="829" t="s">
        <v>232</v>
      </c>
      <c r="K10" s="829" t="s">
        <v>234</v>
      </c>
      <c r="L10" s="829" t="s">
        <v>128</v>
      </c>
      <c r="M10" s="6"/>
      <c r="N10" s="6"/>
      <c r="O10" s="6"/>
      <c r="P10" s="6"/>
      <c r="Q10" s="6"/>
      <c r="R10" s="6"/>
      <c r="S10" s="6"/>
      <c r="T10" s="6"/>
      <c r="U10" s="6"/>
      <c r="V10" s="6"/>
    </row>
    <row r="11" spans="1:22" ht="15.75">
      <c r="A11" s="255">
        <v>2</v>
      </c>
      <c r="B11" s="255" t="s">
        <v>505</v>
      </c>
      <c r="C11" s="843">
        <f>$E$8-4</f>
        <v>2011</v>
      </c>
      <c r="D11" s="858" t="s">
        <v>503</v>
      </c>
      <c r="E11" s="859">
        <f>$E$8-1</f>
        <v>2014</v>
      </c>
      <c r="F11" s="866">
        <f>'Run by Year'!D65</f>
        <v>6325.2000413808082</v>
      </c>
      <c r="G11" s="866">
        <f>'Run by Year'!E65</f>
        <v>17676.767269411292</v>
      </c>
      <c r="H11" s="866">
        <f>'Run by Year'!F65</f>
        <v>673830.07978901104</v>
      </c>
      <c r="I11" s="866">
        <f>'Run by Year'!I65</f>
        <v>1676999.0263506842</v>
      </c>
      <c r="J11" s="866">
        <f>'Run by Year'!J65</f>
        <v>86990.77549086287</v>
      </c>
      <c r="K11" s="866">
        <f>'Run by Year'!L65</f>
        <v>236537.27837341698</v>
      </c>
      <c r="L11" s="852">
        <f t="shared" ref="L11:L16" si="0">SUM(F11:K11)</f>
        <v>2698359.1273147669</v>
      </c>
      <c r="M11" s="6"/>
      <c r="N11" s="6"/>
      <c r="O11" s="6"/>
      <c r="P11" s="6"/>
      <c r="Q11" s="6"/>
      <c r="R11" s="6"/>
      <c r="S11" s="6"/>
      <c r="T11" s="6"/>
      <c r="U11" s="6"/>
      <c r="V11" s="6"/>
    </row>
    <row r="12" spans="1:22" ht="15.75">
      <c r="A12" s="255">
        <v>5</v>
      </c>
      <c r="B12" s="255" t="s">
        <v>505</v>
      </c>
      <c r="C12" s="843">
        <f>$E$8-6</f>
        <v>2009</v>
      </c>
      <c r="D12" s="858" t="s">
        <v>503</v>
      </c>
      <c r="E12" s="859">
        <f t="shared" ref="E12:E16" si="1">$E$8-1</f>
        <v>2014</v>
      </c>
      <c r="F12" s="852">
        <f>'Run by Year'!D66</f>
        <v>4792.9841587990059</v>
      </c>
      <c r="G12" s="852">
        <f>'Run by Year'!E66</f>
        <v>41790.969273723545</v>
      </c>
      <c r="H12" s="852">
        <f>'Run by Year'!F66</f>
        <v>531235.15156953339</v>
      </c>
      <c r="I12" s="852">
        <f>'Run by Year'!I66</f>
        <v>1599238.6427045711</v>
      </c>
      <c r="J12" s="852">
        <f>'Run by Year'!J66</f>
        <v>69924.618977775812</v>
      </c>
      <c r="K12" s="852">
        <f>'Run by Year'!L66</f>
        <v>158644.30965594226</v>
      </c>
      <c r="L12" s="852">
        <f t="shared" si="0"/>
        <v>2405626.6763403453</v>
      </c>
      <c r="M12" s="6"/>
      <c r="N12" s="6"/>
      <c r="O12" s="6"/>
      <c r="P12" s="6"/>
      <c r="Q12" s="6"/>
      <c r="R12" s="6"/>
      <c r="S12" s="6"/>
      <c r="T12" s="6"/>
      <c r="U12" s="6"/>
      <c r="V12" s="6"/>
    </row>
    <row r="13" spans="1:22" ht="15.75">
      <c r="A13" s="255">
        <v>10</v>
      </c>
      <c r="B13" s="255" t="s">
        <v>505</v>
      </c>
      <c r="C13" s="843">
        <f>$E$8-11</f>
        <v>2004</v>
      </c>
      <c r="D13" s="858" t="s">
        <v>503</v>
      </c>
      <c r="E13" s="859">
        <f t="shared" si="1"/>
        <v>2014</v>
      </c>
      <c r="F13" s="852">
        <f>'Run by Year'!D67</f>
        <v>6387.5538701231244</v>
      </c>
      <c r="G13" s="852">
        <f>'Run by Year'!E67</f>
        <v>55356.634632845664</v>
      </c>
      <c r="H13" s="852">
        <f>'Run by Year'!F67</f>
        <v>391200.52534641995</v>
      </c>
      <c r="I13" s="852">
        <f>'Run by Year'!I67</f>
        <v>1492130.5364062022</v>
      </c>
      <c r="J13" s="852">
        <f>'Run by Year'!J67</f>
        <v>52483.958358303316</v>
      </c>
      <c r="K13" s="852">
        <f>'Run by Year'!L67</f>
        <v>178998.37567023173</v>
      </c>
      <c r="L13" s="852">
        <f t="shared" si="0"/>
        <v>2176557.5842841263</v>
      </c>
      <c r="M13" s="6"/>
      <c r="N13" s="6"/>
      <c r="O13" s="6"/>
      <c r="P13" s="6"/>
      <c r="Q13" s="6"/>
      <c r="R13" s="6"/>
      <c r="S13" s="6"/>
      <c r="T13" s="6"/>
      <c r="U13" s="6"/>
      <c r="V13" s="6"/>
    </row>
    <row r="14" spans="1:22" ht="15.75">
      <c r="A14" s="255">
        <v>20</v>
      </c>
      <c r="B14" s="255" t="s">
        <v>505</v>
      </c>
      <c r="C14" s="843">
        <f>$E$8-21</f>
        <v>1994</v>
      </c>
      <c r="D14" s="858" t="s">
        <v>503</v>
      </c>
      <c r="E14" s="859">
        <f t="shared" si="1"/>
        <v>2014</v>
      </c>
      <c r="F14" s="852">
        <f>'Run by Year'!D68</f>
        <v>17831.362416043456</v>
      </c>
      <c r="G14" s="852">
        <f>'Run by Year'!E68</f>
        <v>111452.430589022</v>
      </c>
      <c r="H14" s="852">
        <f>'Run by Year'!F68</f>
        <v>345468.62556211557</v>
      </c>
      <c r="I14" s="852">
        <f>'Run by Year'!I68</f>
        <v>1447172.6994733978</v>
      </c>
      <c r="J14" s="852">
        <f>'Run by Year'!J68</f>
        <v>40552.482118919012</v>
      </c>
      <c r="K14" s="852">
        <f>'Run by Year'!L68</f>
        <v>139634.66868536576</v>
      </c>
      <c r="L14" s="852">
        <f t="shared" si="0"/>
        <v>2102112.2688448639</v>
      </c>
      <c r="M14" s="6"/>
      <c r="N14" s="6"/>
      <c r="O14" s="6"/>
      <c r="P14" s="6"/>
      <c r="Q14" s="6"/>
      <c r="R14" s="6"/>
      <c r="S14" s="6"/>
      <c r="T14" s="6"/>
      <c r="U14" s="6"/>
      <c r="V14" s="6"/>
    </row>
    <row r="15" spans="1:22" ht="15.75">
      <c r="A15" s="255">
        <v>30</v>
      </c>
      <c r="B15" s="255" t="s">
        <v>505</v>
      </c>
      <c r="C15" s="843">
        <f>$E$8-31</f>
        <v>1984</v>
      </c>
      <c r="D15" s="858" t="s">
        <v>503</v>
      </c>
      <c r="E15" s="859">
        <f t="shared" si="1"/>
        <v>2014</v>
      </c>
      <c r="F15" s="852">
        <f>'Run by Year'!D69</f>
        <v>23517.106776430919</v>
      </c>
      <c r="G15" s="852">
        <f>'Run by Year'!E69</f>
        <v>121732.78807961733</v>
      </c>
      <c r="H15" s="852">
        <f>'Run by Year'!F69</f>
        <v>307334.10491312895</v>
      </c>
      <c r="I15" s="852">
        <f>'Run by Year'!I69</f>
        <v>1309999.0140665427</v>
      </c>
      <c r="J15" s="852">
        <f>'Run by Year'!J69</f>
        <v>34262.298023281975</v>
      </c>
      <c r="K15" s="852">
        <f>'Run by Year'!L69</f>
        <v>135100.56970519651</v>
      </c>
      <c r="L15" s="852">
        <f t="shared" si="0"/>
        <v>1931945.8815641983</v>
      </c>
      <c r="M15" s="6"/>
      <c r="N15" s="6"/>
      <c r="O15" s="6"/>
      <c r="P15" s="6"/>
      <c r="Q15" s="6"/>
      <c r="R15" s="6"/>
      <c r="S15" s="6"/>
      <c r="T15" s="6"/>
      <c r="U15" s="6"/>
      <c r="V15" s="6"/>
    </row>
    <row r="16" spans="1:22" ht="15.75">
      <c r="A16" s="827">
        <v>40</v>
      </c>
      <c r="B16" s="827" t="s">
        <v>505</v>
      </c>
      <c r="C16" s="845">
        <f>$E$8-41</f>
        <v>1974</v>
      </c>
      <c r="D16" s="849" t="s">
        <v>503</v>
      </c>
      <c r="E16" s="860">
        <f t="shared" si="1"/>
        <v>2014</v>
      </c>
      <c r="F16" s="853">
        <f>'Run by Year'!D70</f>
        <v>21330.132165463085</v>
      </c>
      <c r="G16" s="853">
        <f>'Run by Year'!E70</f>
        <v>101814.63765337691</v>
      </c>
      <c r="H16" s="853">
        <f>'Run by Year'!F70</f>
        <v>272018.55808191845</v>
      </c>
      <c r="I16" s="853">
        <f>'Run by Year'!I70</f>
        <v>1176876.4744683704</v>
      </c>
      <c r="J16" s="853">
        <f>'Run by Year'!J70</f>
        <v>30320.829144240783</v>
      </c>
      <c r="K16" s="853">
        <f>'Run by Year'!L70</f>
        <v>121110.54279414208</v>
      </c>
      <c r="L16" s="853">
        <f t="shared" si="0"/>
        <v>1723471.1743075119</v>
      </c>
      <c r="M16" s="6"/>
      <c r="N16" s="6"/>
      <c r="O16" s="6"/>
      <c r="P16" s="6"/>
      <c r="Q16" s="6"/>
      <c r="R16" s="6"/>
      <c r="S16" s="6"/>
      <c r="T16" s="6"/>
      <c r="U16" s="6"/>
      <c r="V16" s="6"/>
    </row>
    <row r="17" spans="1:22" ht="15.75">
      <c r="A17" s="834"/>
      <c r="B17" s="834"/>
      <c r="C17" s="987">
        <v>2014</v>
      </c>
      <c r="D17" s="869"/>
      <c r="E17" s="963" t="s">
        <v>561</v>
      </c>
      <c r="F17" s="989">
        <f>VLOOKUP($C$17, 'Run by Year'!$A$7:$R$62, F2, FALSE)</f>
        <v>11010.173564230177</v>
      </c>
      <c r="G17" s="989">
        <f>VLOOKUP($C$17, 'Run by Year'!$A$7:$R$62, G2, FALSE)</f>
        <v>13485.463639855541</v>
      </c>
      <c r="H17" s="1004">
        <f>VLOOKUP($C$17, 'Run by Year'!$A$7:$R$62, H2, FALSE)</f>
        <v>696926.54247166798</v>
      </c>
      <c r="I17" s="989">
        <f>VLOOKUP($C$17, 'Run by Year'!$A$7:$R$62, I2, FALSE)</f>
        <v>1875957.0948617512</v>
      </c>
      <c r="J17" s="989">
        <f>VLOOKUP($C$17, 'Run by Year'!$A$7:$R$62, J2, FALSE)</f>
        <v>88660.226537754381</v>
      </c>
      <c r="K17" s="989">
        <f>VLOOKUP($C$17, 'Run by Year'!$A$7:$R$62, K2, FALSE)</f>
        <v>179046.95112404649</v>
      </c>
      <c r="L17" s="865">
        <f>SUM(F17:K17)</f>
        <v>2865086.4521993054</v>
      </c>
      <c r="M17" s="6"/>
      <c r="N17" s="6"/>
      <c r="O17" s="6"/>
      <c r="P17" s="6"/>
      <c r="Q17" s="6"/>
      <c r="R17" s="6"/>
      <c r="S17" s="6"/>
      <c r="T17" s="6"/>
      <c r="U17" s="6"/>
      <c r="V17" s="6"/>
    </row>
    <row r="18" spans="1:22" ht="15.75">
      <c r="A18" s="255"/>
      <c r="B18" s="255"/>
      <c r="C18" s="843"/>
      <c r="D18" s="858"/>
      <c r="E18" s="868"/>
      <c r="F18" s="852"/>
      <c r="G18" s="852"/>
      <c r="H18" s="852"/>
      <c r="I18" s="852"/>
      <c r="J18" s="852"/>
      <c r="K18" s="852"/>
      <c r="L18" s="852"/>
      <c r="M18" s="6"/>
      <c r="N18" s="6"/>
      <c r="O18" s="6"/>
      <c r="P18" s="6"/>
      <c r="Q18" s="6"/>
      <c r="R18" s="6"/>
      <c r="S18" s="6"/>
      <c r="T18" s="6"/>
      <c r="U18" s="6"/>
      <c r="V18" s="6"/>
    </row>
    <row r="19" spans="1:22" ht="15.75">
      <c r="A19" s="964" t="str">
        <f>E8&amp;" Preseason forecast"</f>
        <v>2015 Preseason forecast</v>
      </c>
      <c r="B19" s="825"/>
      <c r="C19" s="825"/>
      <c r="D19" s="825"/>
      <c r="E19" s="825"/>
      <c r="F19" s="865">
        <f>'Forecast by Age'!F9</f>
        <v>4792.9841587990059</v>
      </c>
      <c r="G19" s="865">
        <f>'Forecast by Age'!F10</f>
        <v>41790.969273723545</v>
      </c>
      <c r="H19" s="989">
        <f>'Forecast by Age'!F11</f>
        <v>219092.3535968111</v>
      </c>
      <c r="I19" s="865">
        <f>'Forecast by Age'!F12</f>
        <v>2263895.6102893078</v>
      </c>
      <c r="J19" s="865">
        <f>'Forecast by Age'!F13</f>
        <v>40119.843364903849</v>
      </c>
      <c r="K19" s="865">
        <f>'Forecast by Age'!F14</f>
        <v>176706.53158531699</v>
      </c>
      <c r="L19" s="865">
        <f>SUM(F19:K19)</f>
        <v>2746398.292268862</v>
      </c>
      <c r="M19" s="6"/>
      <c r="N19" s="6"/>
      <c r="O19" s="6"/>
      <c r="P19" s="6"/>
      <c r="Q19" s="6"/>
      <c r="R19" s="6"/>
      <c r="S19" s="6"/>
      <c r="T19" s="6"/>
      <c r="U19" s="6"/>
      <c r="V19" s="6"/>
    </row>
    <row r="20" spans="1:22" ht="15.75">
      <c r="A20" s="6" t="s">
        <v>512</v>
      </c>
      <c r="B20" s="6"/>
      <c r="C20" s="6"/>
      <c r="D20" s="6"/>
      <c r="E20" s="6"/>
      <c r="F20" s="6"/>
      <c r="G20" s="6"/>
      <c r="H20" s="6"/>
      <c r="I20" s="6"/>
      <c r="J20" s="6"/>
      <c r="K20" s="6"/>
      <c r="L20" s="6"/>
      <c r="M20" s="6"/>
      <c r="N20" s="6"/>
      <c r="O20" s="6"/>
      <c r="P20" s="6"/>
      <c r="Q20" s="6"/>
      <c r="R20" s="6"/>
      <c r="S20" s="6"/>
      <c r="T20" s="6"/>
      <c r="U20" s="6"/>
      <c r="V20" s="6"/>
    </row>
    <row r="21" spans="1:22" ht="15.75">
      <c r="A21" s="6"/>
      <c r="B21" s="6"/>
      <c r="C21" s="6"/>
      <c r="D21" s="6"/>
      <c r="E21" s="6"/>
      <c r="F21" s="6"/>
      <c r="G21" s="6"/>
      <c r="H21" s="6"/>
      <c r="I21" s="6"/>
      <c r="J21" s="6"/>
      <c r="K21" s="6"/>
      <c r="L21" s="6"/>
      <c r="M21" s="6"/>
      <c r="N21" s="6"/>
      <c r="O21" s="6"/>
      <c r="P21" s="6"/>
      <c r="Q21" s="6"/>
      <c r="R21" s="6"/>
      <c r="S21" s="6"/>
      <c r="T21" s="6"/>
      <c r="U21" s="6"/>
      <c r="V21" s="6"/>
    </row>
    <row r="22" spans="1:22" ht="15.75">
      <c r="A22" s="6"/>
      <c r="B22" s="6"/>
      <c r="C22" s="6"/>
      <c r="D22" s="6"/>
      <c r="E22" s="6"/>
      <c r="F22" s="6"/>
      <c r="G22" s="6"/>
      <c r="H22" s="6"/>
      <c r="I22" s="6"/>
      <c r="J22" s="6"/>
      <c r="K22" s="6"/>
      <c r="L22" s="6"/>
      <c r="M22" s="6"/>
      <c r="N22" s="6"/>
      <c r="O22" s="6"/>
      <c r="P22" s="6"/>
      <c r="Q22" s="6"/>
      <c r="R22" s="6"/>
      <c r="S22" s="6"/>
      <c r="T22" s="6"/>
      <c r="U22" s="6"/>
      <c r="V22" s="6"/>
    </row>
    <row r="23" spans="1:22" ht="15.75">
      <c r="A23" s="6"/>
      <c r="B23" s="6"/>
      <c r="C23" s="6"/>
      <c r="D23" s="6"/>
      <c r="E23" s="6"/>
      <c r="F23" s="6"/>
      <c r="G23" s="6"/>
      <c r="H23" s="6"/>
      <c r="I23" s="6"/>
      <c r="J23" s="6"/>
      <c r="K23" s="6"/>
      <c r="L23" s="6"/>
      <c r="M23" s="6"/>
      <c r="N23" s="6"/>
      <c r="O23" s="6"/>
      <c r="P23" s="6"/>
      <c r="Q23" s="6"/>
      <c r="R23" s="6"/>
      <c r="S23" s="6"/>
      <c r="T23" s="6"/>
      <c r="U23" s="6"/>
      <c r="V23" s="6"/>
    </row>
    <row r="24" spans="1:22" ht="15.75">
      <c r="A24" s="6"/>
      <c r="B24" s="6"/>
      <c r="C24" s="6"/>
      <c r="D24" s="6"/>
      <c r="E24" s="6"/>
      <c r="F24" s="6"/>
      <c r="G24" s="6"/>
      <c r="H24" s="6"/>
      <c r="I24" s="6"/>
      <c r="J24" s="6"/>
      <c r="K24" s="6"/>
      <c r="L24" s="6"/>
      <c r="M24" s="6"/>
      <c r="N24" s="6"/>
      <c r="O24" s="6"/>
      <c r="P24" s="6"/>
      <c r="Q24" s="6"/>
      <c r="R24" s="6"/>
      <c r="S24" s="6"/>
      <c r="T24" s="6"/>
      <c r="U24" s="6"/>
      <c r="V24" s="6"/>
    </row>
    <row r="25" spans="1:22" ht="15.75">
      <c r="A25" s="6"/>
      <c r="B25" s="6"/>
      <c r="C25" s="6"/>
      <c r="D25" s="6"/>
      <c r="E25" s="6"/>
      <c r="F25" s="6"/>
      <c r="G25" s="6"/>
      <c r="H25" s="6"/>
      <c r="I25" s="6"/>
      <c r="J25" s="6"/>
      <c r="K25" s="6"/>
      <c r="L25" s="6"/>
      <c r="M25" s="6"/>
      <c r="N25" s="6"/>
      <c r="O25" s="6"/>
      <c r="P25" s="6"/>
      <c r="Q25" s="6"/>
      <c r="R25" s="6"/>
      <c r="S25" s="6"/>
      <c r="T25" s="6"/>
      <c r="U25" s="6"/>
      <c r="V25" s="6"/>
    </row>
    <row r="26" spans="1:22" ht="15.75">
      <c r="A26" s="6"/>
      <c r="B26" s="6"/>
      <c r="C26" s="6"/>
      <c r="D26" s="6"/>
      <c r="E26" s="6"/>
      <c r="F26" s="6"/>
      <c r="G26" s="6"/>
      <c r="H26" s="6"/>
      <c r="I26" s="6"/>
      <c r="J26" s="6"/>
      <c r="K26" s="6"/>
      <c r="L26" s="6"/>
      <c r="M26" s="6"/>
      <c r="N26" s="6"/>
      <c r="O26" s="6"/>
      <c r="P26" s="6"/>
      <c r="Q26" s="6"/>
      <c r="R26" s="6"/>
      <c r="S26" s="6"/>
      <c r="T26" s="6"/>
      <c r="U26" s="6"/>
      <c r="V26" s="6"/>
    </row>
    <row r="27" spans="1:22" ht="15.75">
      <c r="A27" s="6"/>
      <c r="B27" s="6"/>
      <c r="C27" s="6"/>
      <c r="D27" s="6"/>
      <c r="E27" s="6"/>
      <c r="F27" s="6"/>
      <c r="G27" s="6"/>
      <c r="H27" s="6"/>
      <c r="I27" s="6"/>
      <c r="J27" s="6"/>
      <c r="K27" s="6"/>
      <c r="L27" s="6"/>
      <c r="M27" s="6"/>
      <c r="N27" s="6"/>
      <c r="O27" s="6"/>
      <c r="P27" s="6"/>
      <c r="Q27" s="6"/>
      <c r="R27" s="6"/>
      <c r="S27" s="6"/>
      <c r="T27" s="6"/>
      <c r="U27" s="6"/>
      <c r="V27" s="6"/>
    </row>
    <row r="28" spans="1:22" ht="15.75">
      <c r="A28" s="6"/>
      <c r="B28" s="6"/>
      <c r="C28" s="6"/>
      <c r="D28" s="6"/>
      <c r="E28" s="6"/>
      <c r="F28" s="6"/>
      <c r="G28" s="6"/>
      <c r="H28" s="6"/>
      <c r="I28" s="6"/>
      <c r="J28" s="6"/>
      <c r="K28" s="6"/>
      <c r="L28" s="6"/>
      <c r="M28" s="6"/>
      <c r="N28" s="6"/>
      <c r="O28" s="6"/>
      <c r="P28" s="6"/>
      <c r="Q28" s="6"/>
      <c r="R28" s="6"/>
      <c r="S28" s="6"/>
      <c r="T28" s="6"/>
      <c r="U28" s="6"/>
      <c r="V28" s="6"/>
    </row>
    <row r="29" spans="1:22" ht="15.75">
      <c r="A29" s="6"/>
      <c r="B29" s="6"/>
      <c r="C29" s="6"/>
      <c r="D29" s="6"/>
      <c r="E29" s="6"/>
      <c r="F29" s="6"/>
      <c r="G29" s="6"/>
      <c r="H29" s="6"/>
      <c r="I29" s="6"/>
      <c r="J29" s="6"/>
      <c r="K29" s="6"/>
      <c r="L29" s="6"/>
      <c r="M29" s="6"/>
      <c r="N29" s="6"/>
      <c r="O29" s="6"/>
      <c r="P29" s="6"/>
      <c r="Q29" s="6"/>
      <c r="R29" s="6"/>
      <c r="S29" s="6"/>
      <c r="T29" s="6"/>
      <c r="U29" s="6"/>
      <c r="V29" s="6"/>
    </row>
    <row r="30" spans="1:22" ht="15.75">
      <c r="A30" s="6"/>
      <c r="B30" s="6"/>
      <c r="C30" s="6"/>
      <c r="D30" s="6"/>
      <c r="E30" s="6"/>
      <c r="F30" s="6"/>
      <c r="G30" s="6"/>
      <c r="H30" s="6"/>
      <c r="I30" s="6"/>
      <c r="J30" s="6"/>
      <c r="K30" s="6"/>
      <c r="L30" s="6"/>
      <c r="M30" s="6"/>
      <c r="N30" s="6"/>
      <c r="O30" s="6"/>
      <c r="P30" s="6"/>
      <c r="Q30" s="6"/>
      <c r="R30" s="6"/>
      <c r="S30" s="6"/>
      <c r="T30" s="6"/>
      <c r="U30" s="6"/>
      <c r="V30" s="6"/>
    </row>
    <row r="31" spans="1:22" ht="15.75">
      <c r="A31" s="6"/>
      <c r="B31" s="6"/>
      <c r="C31" s="6"/>
      <c r="D31" s="6"/>
      <c r="E31" s="6"/>
      <c r="F31" s="6"/>
      <c r="G31" s="6"/>
      <c r="H31" s="6"/>
      <c r="I31" s="6"/>
      <c r="J31" s="6"/>
      <c r="K31" s="6"/>
      <c r="L31" s="6"/>
      <c r="M31" s="6"/>
      <c r="N31" s="6"/>
      <c r="O31" s="6"/>
      <c r="P31" s="6"/>
      <c r="Q31" s="6"/>
      <c r="R31" s="6"/>
      <c r="S31" s="6"/>
      <c r="T31" s="6"/>
      <c r="U31" s="6"/>
      <c r="V31" s="6"/>
    </row>
    <row r="32" spans="1:22" ht="15.75">
      <c r="A32" s="6"/>
      <c r="B32" s="6"/>
      <c r="C32" s="6"/>
      <c r="D32" s="6"/>
      <c r="E32" s="6"/>
      <c r="F32" s="6"/>
      <c r="G32" s="6"/>
      <c r="H32" s="6"/>
      <c r="I32" s="6"/>
      <c r="J32" s="6"/>
      <c r="K32" s="6"/>
      <c r="L32" s="6"/>
      <c r="M32" s="6"/>
      <c r="N32" s="6"/>
      <c r="O32" s="6"/>
      <c r="P32" s="6"/>
      <c r="Q32" s="6"/>
      <c r="R32" s="6"/>
      <c r="S32" s="6"/>
      <c r="T32" s="6"/>
      <c r="U32" s="6"/>
      <c r="V32" s="6"/>
    </row>
    <row r="33" spans="1:22" ht="15.75">
      <c r="A33" s="6"/>
      <c r="B33" s="6"/>
      <c r="C33" s="6"/>
      <c r="D33" s="6"/>
      <c r="E33" s="6"/>
      <c r="F33" s="6"/>
      <c r="G33" s="6"/>
      <c r="H33" s="6"/>
      <c r="I33" s="6"/>
      <c r="J33" s="6"/>
      <c r="K33" s="6"/>
      <c r="L33" s="6"/>
      <c r="M33" s="6"/>
      <c r="N33" s="6"/>
      <c r="O33" s="6"/>
      <c r="P33" s="6"/>
      <c r="Q33" s="6"/>
      <c r="R33" s="6"/>
      <c r="S33" s="6"/>
      <c r="T33" s="6"/>
      <c r="U33" s="6"/>
      <c r="V33" s="6"/>
    </row>
    <row r="34" spans="1:22" ht="15.75">
      <c r="A34" s="6"/>
      <c r="B34" s="6"/>
      <c r="C34" s="6"/>
      <c r="D34" s="6"/>
      <c r="E34" s="6"/>
      <c r="F34" s="6"/>
      <c r="G34" s="6"/>
      <c r="H34" s="6"/>
      <c r="I34" s="6"/>
      <c r="J34" s="6"/>
      <c r="K34" s="6"/>
      <c r="L34" s="6"/>
      <c r="M34" s="6"/>
      <c r="N34" s="6"/>
      <c r="O34" s="6"/>
      <c r="P34" s="6"/>
      <c r="Q34" s="6"/>
      <c r="R34" s="6"/>
      <c r="S34" s="6"/>
      <c r="T34" s="6"/>
      <c r="U34" s="6"/>
      <c r="V34" s="6"/>
    </row>
    <row r="35" spans="1:22" ht="15.75">
      <c r="A35" s="6"/>
      <c r="B35" s="6"/>
      <c r="C35" s="6"/>
      <c r="D35" s="6"/>
      <c r="E35" s="6"/>
      <c r="F35" s="6"/>
      <c r="G35" s="6"/>
      <c r="H35" s="6"/>
      <c r="I35" s="6"/>
      <c r="J35" s="6"/>
      <c r="K35" s="6"/>
      <c r="L35" s="6"/>
      <c r="M35" s="6"/>
      <c r="N35" s="6"/>
      <c r="O35" s="6"/>
      <c r="P35" s="6"/>
      <c r="Q35" s="6"/>
      <c r="R35" s="6"/>
      <c r="S35" s="6"/>
      <c r="T35" s="6"/>
      <c r="U35" s="6"/>
      <c r="V35" s="6"/>
    </row>
    <row r="36" spans="1:22" ht="15.75">
      <c r="A36" s="6"/>
      <c r="B36" s="6"/>
      <c r="C36" s="6"/>
      <c r="D36" s="6"/>
      <c r="E36" s="6"/>
      <c r="F36" s="6"/>
      <c r="G36" s="6"/>
      <c r="H36" s="6"/>
      <c r="I36" s="6"/>
      <c r="J36" s="6"/>
      <c r="K36" s="6"/>
      <c r="L36" s="6"/>
      <c r="M36" s="6"/>
      <c r="N36" s="6"/>
      <c r="O36" s="6"/>
      <c r="P36" s="6"/>
      <c r="Q36" s="6"/>
      <c r="R36" s="6"/>
      <c r="S36" s="6"/>
      <c r="T36" s="6"/>
      <c r="U36" s="6"/>
      <c r="V36" s="6"/>
    </row>
    <row r="37" spans="1:22" ht="15.75">
      <c r="A37" s="6"/>
      <c r="B37" s="6"/>
      <c r="C37" s="6"/>
      <c r="D37" s="6"/>
      <c r="E37" s="6"/>
      <c r="F37" s="6"/>
      <c r="G37" s="6"/>
      <c r="H37" s="6"/>
      <c r="I37" s="6"/>
      <c r="J37" s="6"/>
      <c r="K37" s="6"/>
      <c r="L37" s="6"/>
      <c r="M37" s="6"/>
      <c r="N37" s="6"/>
      <c r="O37" s="6"/>
      <c r="P37" s="6"/>
      <c r="Q37" s="6"/>
      <c r="R37" s="6"/>
      <c r="S37" s="6"/>
      <c r="T37" s="6"/>
      <c r="U37" s="6"/>
      <c r="V37" s="6"/>
    </row>
    <row r="38" spans="1:22" ht="15.75">
      <c r="A38" s="6"/>
      <c r="B38" s="6"/>
      <c r="C38" s="6"/>
      <c r="D38" s="6"/>
      <c r="E38" s="6"/>
      <c r="F38" s="6"/>
      <c r="G38" s="6"/>
      <c r="H38" s="6"/>
      <c r="I38" s="6"/>
      <c r="J38" s="6"/>
      <c r="K38" s="6"/>
      <c r="L38" s="6"/>
      <c r="M38" s="6"/>
      <c r="N38" s="6"/>
      <c r="O38" s="6"/>
      <c r="P38" s="6"/>
      <c r="Q38" s="6"/>
      <c r="R38" s="6"/>
      <c r="S38" s="6"/>
      <c r="T38" s="6"/>
      <c r="U38" s="6"/>
      <c r="V38" s="6"/>
    </row>
    <row r="39" spans="1:22" ht="15.75">
      <c r="A39" s="6"/>
      <c r="B39" s="6"/>
      <c r="C39" s="6"/>
      <c r="D39" s="6"/>
      <c r="E39" s="6"/>
      <c r="F39" s="6"/>
      <c r="G39" s="6"/>
      <c r="H39" s="6"/>
      <c r="I39" s="6"/>
      <c r="J39" s="6"/>
      <c r="K39" s="6"/>
      <c r="L39" s="6"/>
      <c r="M39" s="6"/>
      <c r="N39" s="6"/>
      <c r="O39" s="6"/>
      <c r="P39" s="6"/>
      <c r="Q39" s="6"/>
      <c r="R39" s="6"/>
      <c r="S39" s="6"/>
      <c r="T39" s="6"/>
      <c r="U39" s="6"/>
      <c r="V39" s="6"/>
    </row>
    <row r="40" spans="1:22" ht="15.75">
      <c r="A40" s="6"/>
      <c r="B40" s="6"/>
      <c r="C40" s="6"/>
      <c r="D40" s="6"/>
      <c r="E40" s="6"/>
      <c r="F40" s="6"/>
      <c r="G40" s="6"/>
      <c r="H40" s="6"/>
      <c r="I40" s="6"/>
      <c r="J40" s="6"/>
      <c r="K40" s="6"/>
      <c r="L40" s="6"/>
      <c r="M40" s="6"/>
      <c r="N40" s="6"/>
      <c r="O40" s="6"/>
      <c r="P40" s="6"/>
      <c r="Q40" s="6"/>
      <c r="R40" s="6"/>
      <c r="S40" s="6"/>
      <c r="T40" s="6"/>
      <c r="U40" s="6"/>
      <c r="V40" s="6"/>
    </row>
    <row r="41" spans="1:22" ht="15.75">
      <c r="A41" s="6"/>
      <c r="B41" s="6"/>
      <c r="C41" s="6"/>
      <c r="D41" s="6"/>
      <c r="E41" s="6"/>
      <c r="F41" s="6"/>
      <c r="G41" s="6"/>
      <c r="H41" s="6"/>
      <c r="I41" s="6"/>
      <c r="J41" s="6"/>
      <c r="K41" s="6"/>
      <c r="L41" s="6"/>
      <c r="M41" s="6"/>
      <c r="N41" s="6"/>
      <c r="O41" s="6"/>
      <c r="P41" s="6"/>
      <c r="Q41" s="6"/>
      <c r="R41" s="6"/>
      <c r="S41" s="6"/>
      <c r="T41" s="6"/>
      <c r="U41" s="6"/>
      <c r="V41" s="6"/>
    </row>
    <row r="42" spans="1:22" ht="15.75">
      <c r="A42" s="6"/>
      <c r="B42" s="6"/>
      <c r="C42" s="6"/>
      <c r="D42" s="6"/>
      <c r="E42" s="6"/>
      <c r="F42" s="6"/>
      <c r="G42" s="6"/>
      <c r="H42" s="6"/>
      <c r="I42" s="6"/>
      <c r="J42" s="6"/>
      <c r="K42" s="6"/>
      <c r="L42" s="6"/>
      <c r="M42" s="6"/>
      <c r="N42" s="6"/>
      <c r="O42" s="6"/>
      <c r="P42" s="6"/>
      <c r="Q42" s="6"/>
      <c r="R42" s="6"/>
      <c r="S42" s="6"/>
      <c r="T42" s="6"/>
      <c r="U42" s="6"/>
      <c r="V42" s="6"/>
    </row>
    <row r="43" spans="1:22" ht="15.75">
      <c r="A43" s="6"/>
      <c r="B43" s="6"/>
      <c r="C43" s="6"/>
      <c r="D43" s="6"/>
      <c r="E43" s="6"/>
      <c r="F43" s="6"/>
      <c r="G43" s="6"/>
      <c r="H43" s="6"/>
      <c r="I43" s="6"/>
      <c r="J43" s="6"/>
      <c r="K43" s="6"/>
      <c r="L43" s="6"/>
      <c r="M43" s="6"/>
      <c r="N43" s="6"/>
      <c r="O43" s="6"/>
      <c r="P43" s="6"/>
      <c r="Q43" s="6"/>
      <c r="R43" s="6"/>
      <c r="S43" s="6"/>
      <c r="T43" s="6"/>
      <c r="U43" s="6"/>
      <c r="V43" s="6"/>
    </row>
    <row r="44" spans="1:22" ht="15.75">
      <c r="A44" s="6"/>
      <c r="B44" s="6"/>
      <c r="C44" s="6"/>
      <c r="D44" s="6"/>
      <c r="E44" s="6"/>
      <c r="F44" s="6"/>
      <c r="G44" s="6"/>
      <c r="H44" s="6"/>
      <c r="I44" s="6"/>
      <c r="J44" s="6"/>
      <c r="K44" s="6"/>
      <c r="L44" s="6"/>
      <c r="M44" s="6"/>
      <c r="N44" s="6"/>
      <c r="O44" s="6"/>
      <c r="P44" s="6"/>
      <c r="Q44" s="6"/>
      <c r="R44" s="6"/>
      <c r="S44" s="6"/>
      <c r="T44" s="6"/>
      <c r="U44" s="6"/>
      <c r="V44" s="6"/>
    </row>
    <row r="45" spans="1:22" ht="15.75">
      <c r="A45" s="6"/>
      <c r="B45" s="6"/>
      <c r="C45" s="6"/>
      <c r="D45" s="6"/>
      <c r="E45" s="6"/>
      <c r="F45" s="6"/>
      <c r="G45" s="6"/>
      <c r="H45" s="6"/>
      <c r="I45" s="6"/>
      <c r="J45" s="6"/>
      <c r="K45" s="6"/>
      <c r="L45" s="6"/>
      <c r="M45" s="6"/>
      <c r="N45" s="6"/>
      <c r="O45" s="6"/>
      <c r="P45" s="6"/>
      <c r="Q45" s="6"/>
      <c r="R45" s="6"/>
      <c r="S45" s="6"/>
      <c r="T45" s="6"/>
      <c r="U45" s="6"/>
      <c r="V45" s="6"/>
    </row>
    <row r="46" spans="1:22" ht="15.75">
      <c r="A46" s="6"/>
      <c r="B46" s="6"/>
      <c r="C46" s="6"/>
      <c r="D46" s="6"/>
      <c r="E46" s="6"/>
      <c r="F46" s="6"/>
      <c r="G46" s="6"/>
      <c r="H46" s="6"/>
      <c r="I46" s="6"/>
      <c r="J46" s="6"/>
      <c r="K46" s="6"/>
      <c r="L46" s="6"/>
      <c r="M46" s="6"/>
      <c r="N46" s="6"/>
      <c r="O46" s="6"/>
      <c r="P46" s="6"/>
      <c r="Q46" s="6"/>
      <c r="R46" s="6"/>
      <c r="S46" s="6"/>
      <c r="T46" s="6"/>
      <c r="U46" s="6"/>
      <c r="V46" s="6"/>
    </row>
    <row r="47" spans="1:22" ht="15.75">
      <c r="A47" s="6"/>
      <c r="B47" s="6"/>
      <c r="C47" s="6"/>
      <c r="D47" s="6"/>
      <c r="E47" s="6"/>
      <c r="F47" s="6"/>
      <c r="G47" s="6"/>
      <c r="H47" s="6"/>
      <c r="I47" s="6"/>
      <c r="J47" s="6"/>
      <c r="K47" s="6"/>
      <c r="L47" s="6"/>
      <c r="M47" s="6"/>
      <c r="N47" s="6"/>
      <c r="O47" s="6"/>
      <c r="P47" s="6"/>
      <c r="Q47" s="6"/>
      <c r="R47" s="6"/>
      <c r="S47" s="6"/>
      <c r="T47" s="6"/>
      <c r="U47" s="6"/>
      <c r="V47" s="6"/>
    </row>
    <row r="48" spans="1:22" ht="15.75">
      <c r="A48" s="6"/>
      <c r="B48" s="6"/>
      <c r="C48" s="6"/>
      <c r="D48" s="6"/>
      <c r="E48" s="6"/>
      <c r="F48" s="6"/>
      <c r="G48" s="6"/>
      <c r="H48" s="6"/>
      <c r="I48" s="6"/>
      <c r="J48" s="6"/>
      <c r="K48" s="6"/>
      <c r="L48" s="6"/>
      <c r="M48" s="6"/>
      <c r="N48" s="6"/>
      <c r="O48" s="6"/>
      <c r="P48" s="6"/>
      <c r="Q48" s="6"/>
      <c r="R48" s="6"/>
      <c r="S48" s="6"/>
      <c r="T48" s="6"/>
      <c r="U48" s="6"/>
      <c r="V48" s="6"/>
    </row>
    <row r="49" spans="1:22" ht="15.75">
      <c r="A49" s="6"/>
      <c r="B49" s="6"/>
      <c r="C49" s="6"/>
      <c r="D49" s="6"/>
      <c r="E49" s="6"/>
      <c r="F49" s="6"/>
      <c r="G49" s="6"/>
      <c r="H49" s="6"/>
      <c r="I49" s="6"/>
      <c r="J49" s="6"/>
      <c r="K49" s="6"/>
      <c r="L49" s="6"/>
      <c r="M49" s="6"/>
      <c r="N49" s="6"/>
      <c r="O49" s="6"/>
      <c r="P49" s="6"/>
      <c r="Q49" s="6"/>
      <c r="R49" s="6"/>
      <c r="S49" s="6"/>
      <c r="T49" s="6"/>
      <c r="U49" s="6"/>
      <c r="V49" s="6"/>
    </row>
    <row r="50" spans="1:22" ht="15.75">
      <c r="A50" s="6"/>
      <c r="B50" s="6"/>
      <c r="C50" s="6"/>
      <c r="D50" s="6"/>
      <c r="E50" s="6"/>
      <c r="F50" s="6"/>
      <c r="G50" s="6"/>
      <c r="H50" s="6"/>
      <c r="I50" s="6"/>
      <c r="J50" s="6"/>
      <c r="K50" s="6"/>
      <c r="L50" s="6"/>
      <c r="M50" s="6"/>
      <c r="N50" s="6"/>
      <c r="O50" s="6"/>
      <c r="P50" s="6"/>
      <c r="Q50" s="6"/>
      <c r="R50" s="6"/>
      <c r="S50" s="6"/>
      <c r="T50" s="6"/>
      <c r="U50" s="6"/>
      <c r="V50" s="6"/>
    </row>
    <row r="51" spans="1:22" ht="15.75">
      <c r="A51" s="6"/>
      <c r="B51" s="6"/>
      <c r="C51" s="6"/>
      <c r="D51" s="6"/>
      <c r="E51" s="6"/>
      <c r="F51" s="6"/>
      <c r="G51" s="6"/>
      <c r="H51" s="6"/>
      <c r="I51" s="6"/>
      <c r="J51" s="6"/>
      <c r="K51" s="6"/>
      <c r="L51" s="6"/>
      <c r="M51" s="6"/>
      <c r="N51" s="6"/>
      <c r="O51" s="6"/>
      <c r="P51" s="6"/>
      <c r="Q51" s="6"/>
      <c r="R51" s="6"/>
      <c r="S51" s="6"/>
      <c r="T51" s="6"/>
      <c r="U51" s="6"/>
      <c r="V51" s="6"/>
    </row>
    <row r="52" spans="1:22" ht="15.75">
      <c r="A52" s="6"/>
      <c r="B52" s="6"/>
      <c r="C52" s="6"/>
      <c r="D52" s="6"/>
      <c r="E52" s="6"/>
      <c r="F52" s="6"/>
      <c r="G52" s="6"/>
      <c r="H52" s="6"/>
      <c r="I52" s="6"/>
      <c r="J52" s="6"/>
      <c r="K52" s="6"/>
      <c r="L52" s="6"/>
      <c r="M52" s="6"/>
      <c r="N52" s="6"/>
      <c r="O52" s="6"/>
      <c r="P52" s="6"/>
      <c r="Q52" s="6"/>
      <c r="R52" s="6"/>
      <c r="S52" s="6"/>
      <c r="T52" s="6"/>
      <c r="U52" s="6"/>
      <c r="V52" s="6"/>
    </row>
    <row r="53" spans="1:22" ht="15.75">
      <c r="A53" s="6"/>
      <c r="B53" s="6"/>
      <c r="C53" s="6"/>
      <c r="D53" s="6"/>
      <c r="E53" s="6"/>
      <c r="F53" s="6"/>
      <c r="G53" s="6"/>
      <c r="H53" s="6"/>
      <c r="I53" s="6"/>
      <c r="J53" s="6"/>
      <c r="K53" s="6"/>
      <c r="L53" s="6"/>
      <c r="M53" s="6"/>
      <c r="N53" s="6"/>
      <c r="O53" s="6"/>
      <c r="P53" s="6"/>
      <c r="Q53" s="6"/>
      <c r="R53" s="6"/>
      <c r="S53" s="6"/>
      <c r="T53" s="6"/>
      <c r="U53" s="6"/>
      <c r="V53" s="6"/>
    </row>
    <row r="54" spans="1:22" ht="15.75">
      <c r="A54" s="6"/>
      <c r="B54" s="6"/>
      <c r="C54" s="6"/>
      <c r="D54" s="6"/>
      <c r="E54" s="6"/>
      <c r="F54" s="6"/>
      <c r="G54" s="6"/>
      <c r="H54" s="6"/>
      <c r="I54" s="6"/>
      <c r="J54" s="6"/>
      <c r="K54" s="6"/>
      <c r="L54" s="6"/>
      <c r="M54" s="6"/>
      <c r="N54" s="6"/>
      <c r="O54" s="6"/>
      <c r="P54" s="6"/>
      <c r="Q54" s="6"/>
      <c r="R54" s="6"/>
      <c r="S54" s="6"/>
      <c r="T54" s="6"/>
      <c r="U54" s="6"/>
      <c r="V54" s="6"/>
    </row>
    <row r="55" spans="1:22" ht="15.75">
      <c r="A55" s="6"/>
      <c r="B55" s="6"/>
      <c r="C55" s="6"/>
      <c r="D55" s="6"/>
      <c r="E55" s="6"/>
      <c r="F55" s="6"/>
      <c r="G55" s="6"/>
      <c r="H55" s="6"/>
      <c r="I55" s="6"/>
      <c r="J55" s="6"/>
      <c r="K55" s="6"/>
      <c r="L55" s="6"/>
      <c r="M55" s="6"/>
      <c r="N55" s="6"/>
      <c r="O55" s="6"/>
      <c r="P55" s="6"/>
      <c r="Q55" s="6"/>
      <c r="R55" s="6"/>
      <c r="S55" s="6"/>
      <c r="T55" s="6"/>
      <c r="U55" s="6"/>
      <c r="V55" s="6"/>
    </row>
    <row r="56" spans="1:22" ht="15.75">
      <c r="A56" s="6"/>
      <c r="B56" s="6"/>
      <c r="C56" s="6"/>
      <c r="D56" s="6"/>
      <c r="E56" s="6"/>
      <c r="F56" s="6"/>
      <c r="G56" s="6"/>
      <c r="H56" s="6"/>
      <c r="I56" s="6"/>
      <c r="J56" s="6"/>
      <c r="K56" s="6"/>
      <c r="L56" s="6"/>
      <c r="M56" s="6"/>
      <c r="N56" s="6"/>
      <c r="O56" s="6"/>
      <c r="P56" s="6"/>
      <c r="Q56" s="6"/>
      <c r="R56" s="6"/>
      <c r="S56" s="6"/>
      <c r="T56" s="6"/>
      <c r="U56" s="6"/>
      <c r="V56" s="6"/>
    </row>
    <row r="57" spans="1:22" ht="15.75">
      <c r="A57" s="6"/>
      <c r="B57" s="6"/>
      <c r="C57" s="6"/>
      <c r="D57" s="6"/>
      <c r="E57" s="6"/>
      <c r="F57" s="6"/>
      <c r="G57" s="6"/>
      <c r="H57" s="6"/>
      <c r="I57" s="6"/>
      <c r="J57" s="6"/>
      <c r="K57" s="6"/>
      <c r="L57" s="6"/>
      <c r="M57" s="6"/>
      <c r="N57" s="6"/>
      <c r="O57" s="6"/>
      <c r="P57" s="6"/>
      <c r="Q57" s="6"/>
      <c r="R57" s="6"/>
      <c r="S57" s="6"/>
      <c r="T57" s="6"/>
      <c r="U57" s="6"/>
      <c r="V57" s="6"/>
    </row>
    <row r="58" spans="1:22" ht="15.75">
      <c r="A58" s="6"/>
      <c r="B58" s="6"/>
      <c r="C58" s="6"/>
      <c r="D58" s="6"/>
      <c r="E58" s="6"/>
      <c r="F58" s="6"/>
      <c r="G58" s="6"/>
      <c r="H58" s="6"/>
      <c r="I58" s="6"/>
      <c r="J58" s="6"/>
      <c r="K58" s="6"/>
      <c r="L58" s="6"/>
      <c r="M58" s="6"/>
      <c r="N58" s="6"/>
      <c r="O58" s="6"/>
      <c r="P58" s="6"/>
      <c r="Q58" s="6"/>
      <c r="R58" s="6"/>
      <c r="S58" s="6"/>
      <c r="T58" s="6"/>
      <c r="U58" s="6"/>
      <c r="V58" s="6"/>
    </row>
    <row r="59" spans="1:22" ht="15.75">
      <c r="A59" s="6"/>
      <c r="B59" s="6"/>
      <c r="C59" s="6"/>
      <c r="D59" s="6"/>
      <c r="E59" s="6"/>
      <c r="F59" s="6"/>
      <c r="G59" s="6"/>
      <c r="H59" s="6"/>
      <c r="I59" s="6"/>
      <c r="J59" s="6"/>
      <c r="K59" s="6"/>
      <c r="L59" s="6"/>
      <c r="M59" s="6"/>
      <c r="N59" s="6"/>
      <c r="O59" s="6"/>
      <c r="P59" s="6"/>
      <c r="Q59" s="6"/>
      <c r="R59" s="6"/>
      <c r="S59" s="6"/>
      <c r="T59" s="6"/>
      <c r="U59" s="6"/>
      <c r="V59" s="6"/>
    </row>
  </sheetData>
  <phoneticPr fontId="60" type="noConversion"/>
  <pageMargins left="1" right="0.75" top="1" bottom="1" header="0.5" footer="0.5"/>
  <pageSetup orientation="landscape" r:id="rId1"/>
  <headerFooter alignWithMargins="0"/>
  <ignoredErrors>
    <ignoredError sqref="F10:H10 I10:J10 K10" numberStoredAsText="1"/>
  </ignoredError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2">
    <pageSetUpPr fitToPage="1"/>
  </sheetPr>
  <dimension ref="A1:IU219"/>
  <sheetViews>
    <sheetView zoomScale="75" zoomScaleNormal="75" workbookViewId="0">
      <selection activeCell="G111" sqref="G111"/>
    </sheetView>
  </sheetViews>
  <sheetFormatPr defaultColWidth="9.6640625" defaultRowHeight="15"/>
  <cols>
    <col min="1" max="1" width="14.21875" customWidth="1"/>
    <col min="2" max="2" width="8.109375" customWidth="1"/>
    <col min="3" max="3" width="20.44140625" customWidth="1"/>
    <col min="4" max="4" width="15.109375" customWidth="1"/>
    <col min="5" max="5" width="15.88671875" customWidth="1"/>
    <col min="6" max="6" width="22.44140625" customWidth="1"/>
    <col min="7" max="7" width="17.33203125" style="14" customWidth="1"/>
    <col min="8" max="8" width="15.33203125" customWidth="1"/>
    <col min="9" max="9" width="16.6640625" customWidth="1"/>
    <col min="10" max="10" width="13.6640625" customWidth="1"/>
    <col min="11" max="11" width="13.21875" customWidth="1"/>
    <col min="12" max="12" width="16.109375" style="9" customWidth="1"/>
    <col min="13" max="13" width="16.109375" style="10" customWidth="1"/>
    <col min="14" max="14" width="16.6640625" customWidth="1"/>
    <col min="15" max="15" width="28.6640625" customWidth="1"/>
    <col min="16" max="16" width="12.33203125" customWidth="1"/>
    <col min="17" max="17" width="22.6640625" customWidth="1"/>
    <col min="18" max="18" width="9.6640625" style="11"/>
    <col min="19" max="19" width="7.6640625" customWidth="1"/>
    <col min="24" max="24" width="9.6640625" style="11"/>
    <col min="25" max="25" width="7.6640625" style="9" customWidth="1"/>
  </cols>
  <sheetData>
    <row r="1" spans="1:26">
      <c r="A1" t="s">
        <v>0</v>
      </c>
      <c r="B1" s="440" t="str">
        <f ca="1">CELL("filename",B2)</f>
        <v>O:\DCF\SALMON\FORECAST\2015\[2015_Copper River Wild Sockeye forecast_FINAL.xlsm]Fcst Sumry</v>
      </c>
      <c r="G1"/>
    </row>
    <row r="2" spans="1:26">
      <c r="G2"/>
    </row>
    <row r="3" spans="1:26" ht="22.5">
      <c r="A3" s="12" t="s">
        <v>408</v>
      </c>
      <c r="B3" s="770">
        <v>2015</v>
      </c>
      <c r="G3"/>
    </row>
    <row r="4" spans="1:26" ht="16.899999999999999" customHeight="1">
      <c r="A4" s="14" t="s">
        <v>21</v>
      </c>
      <c r="B4" s="15" t="str">
        <f>"COPPER RIVER SOCKEYE SALMON - "&amp;FIXED(B3,0,TRUE)&amp;" Forecast"</f>
        <v>COPPER RIVER SOCKEYE SALMON - 2015 Forecast</v>
      </c>
    </row>
    <row r="5" spans="1:26" ht="15.75" thickBot="1">
      <c r="H5" s="15"/>
      <c r="M5"/>
      <c r="N5" s="10"/>
      <c r="R5"/>
      <c r="S5" s="11"/>
      <c r="X5"/>
      <c r="Y5" s="11"/>
      <c r="Z5" s="9"/>
    </row>
    <row r="6" spans="1:26" ht="22.5">
      <c r="A6" s="329" t="s">
        <v>22</v>
      </c>
      <c r="B6" s="330"/>
      <c r="C6" s="330"/>
      <c r="D6" s="330"/>
      <c r="E6" s="330"/>
      <c r="F6" s="331"/>
      <c r="G6" s="704"/>
      <c r="H6" s="330"/>
      <c r="I6" s="330"/>
      <c r="J6" s="330"/>
      <c r="K6" s="332"/>
      <c r="L6" s="330"/>
      <c r="M6" s="333"/>
      <c r="N6" s="16"/>
      <c r="R6"/>
      <c r="X6"/>
      <c r="Y6"/>
    </row>
    <row r="7" spans="1:26" ht="22.5">
      <c r="A7" s="334"/>
      <c r="B7" s="227"/>
      <c r="C7" s="227"/>
      <c r="D7" s="227"/>
      <c r="E7" s="227"/>
      <c r="F7" s="263"/>
      <c r="G7" s="227"/>
      <c r="H7" s="814"/>
      <c r="I7" s="227"/>
      <c r="J7" s="227"/>
      <c r="K7" s="303"/>
      <c r="L7" s="227"/>
      <c r="M7" s="335"/>
      <c r="N7" s="18"/>
      <c r="O7" s="523">
        <f>EXP(14.1626)</f>
        <v>1414943.2751178732</v>
      </c>
      <c r="R7"/>
      <c r="X7"/>
      <c r="Y7"/>
    </row>
    <row r="8" spans="1:26" ht="15.75">
      <c r="A8" s="336" t="s">
        <v>23</v>
      </c>
      <c r="B8" s="19"/>
      <c r="C8" s="19" t="s">
        <v>364</v>
      </c>
      <c r="D8" s="556" t="s">
        <v>335</v>
      </c>
      <c r="E8" s="304"/>
      <c r="F8" s="305"/>
      <c r="G8" s="903" t="s">
        <v>24</v>
      </c>
      <c r="H8" s="815" t="s">
        <v>490</v>
      </c>
      <c r="I8" s="411"/>
      <c r="J8" s="306"/>
      <c r="K8" s="307"/>
      <c r="L8" s="308" t="s">
        <v>331</v>
      </c>
      <c r="M8" s="337"/>
      <c r="N8" s="18"/>
      <c r="R8"/>
      <c r="X8"/>
      <c r="Y8"/>
    </row>
    <row r="9" spans="1:26" ht="21.75" customHeight="1" thickBot="1">
      <c r="A9" s="338" t="s">
        <v>27</v>
      </c>
      <c r="B9" s="282" t="s">
        <v>28</v>
      </c>
      <c r="C9" s="654" t="s">
        <v>365</v>
      </c>
      <c r="D9" s="314" t="s">
        <v>30</v>
      </c>
      <c r="E9" s="315" t="s">
        <v>31</v>
      </c>
      <c r="F9" s="316" t="s">
        <v>284</v>
      </c>
      <c r="G9" s="904" t="s">
        <v>32</v>
      </c>
      <c r="H9" s="314" t="s">
        <v>30</v>
      </c>
      <c r="I9" s="317" t="s">
        <v>31</v>
      </c>
      <c r="J9" s="313" t="s">
        <v>330</v>
      </c>
      <c r="K9" s="318" t="s">
        <v>332</v>
      </c>
      <c r="L9" s="318" t="s">
        <v>333</v>
      </c>
      <c r="M9" s="339" t="s">
        <v>334</v>
      </c>
      <c r="N9" s="289" t="s">
        <v>33</v>
      </c>
      <c r="R9"/>
      <c r="X9"/>
      <c r="Y9"/>
    </row>
    <row r="10" spans="1:26" ht="20.25" customHeight="1" thickBot="1">
      <c r="A10" s="755">
        <f>$B$3-3</f>
        <v>2012</v>
      </c>
      <c r="B10" s="281">
        <v>1.1000000000000001</v>
      </c>
      <c r="C10" s="712">
        <f>'Brd Tbl'!E69</f>
        <v>4792.9841587990059</v>
      </c>
      <c r="D10" s="713">
        <f>IF($C10-((('Brd Tbl'!$E$64)/SQRT('Brd Tbl'!$E$63))*'Brd Tbl'!$E$65)&lt;0,0,(('Brd Tbl'!$E$64)/SQRT('Brd Tbl'!$E$63))*'Brd Tbl'!$E$65)</f>
        <v>0</v>
      </c>
      <c r="E10" s="713">
        <f>$C10+((('Brd Tbl'!$E$64)/SQRT('Brd Tbl'!$E$63))*'Brd Tbl'!$E$65)</f>
        <v>9606.8320282884088</v>
      </c>
      <c r="F10" s="284"/>
      <c r="G10" s="285"/>
      <c r="H10" s="286"/>
      <c r="I10" s="312"/>
      <c r="J10" s="286"/>
      <c r="K10" s="287"/>
      <c r="L10" s="287"/>
      <c r="M10" s="340"/>
      <c r="N10" s="289"/>
      <c r="R10"/>
      <c r="X10"/>
      <c r="Y10"/>
    </row>
    <row r="11" spans="1:26" ht="18.75">
      <c r="A11" s="756">
        <f>$B$3-4</f>
        <v>2011</v>
      </c>
      <c r="B11" s="412">
        <v>0.3</v>
      </c>
      <c r="C11" s="714">
        <f>'Brd Tbl'!K69</f>
        <v>41790.969273723545</v>
      </c>
      <c r="D11" s="714">
        <f>$C11-((('Brd Tbl'!$K$64)/SQRT('Brd Tbl'!$K$63))*'Brd Tbl'!$K$65)</f>
        <v>19775.211655559466</v>
      </c>
      <c r="E11" s="714">
        <f>$C11+((('Brd Tbl'!$K$64)/SQRT('Brd Tbl'!$K$63))*'Brd Tbl'!$K$65)</f>
        <v>63806.726891887622</v>
      </c>
      <c r="F11" s="413" t="s">
        <v>35</v>
      </c>
      <c r="G11" s="715">
        <f>ln03xln11!U63</f>
        <v>16704.959179860693</v>
      </c>
      <c r="H11" s="716">
        <f>ln03xln11!V63</f>
        <v>3271.6114516420703</v>
      </c>
      <c r="I11" s="717">
        <f>ln03xln11!W63</f>
        <v>85296.088892447762</v>
      </c>
      <c r="J11" s="718">
        <f>ln03xln11!Y66</f>
        <v>2.4344090975966277</v>
      </c>
      <c r="K11" s="719">
        <f>ln03xln11!O66</f>
        <v>1.5705290621890236</v>
      </c>
      <c r="L11" s="741">
        <f>ln03xln11!T66</f>
        <v>1513520958397.0273</v>
      </c>
      <c r="M11" s="742">
        <f>ln03xln11!AI44</f>
        <v>0.32034000000000001</v>
      </c>
      <c r="N11" s="288"/>
      <c r="O11" t="s">
        <v>36</v>
      </c>
      <c r="R11"/>
      <c r="X11"/>
      <c r="Y11"/>
    </row>
    <row r="12" spans="1:26" ht="19.5" thickBot="1">
      <c r="A12" s="756">
        <f>$B$3-4</f>
        <v>2011</v>
      </c>
      <c r="B12" s="311">
        <v>0.3</v>
      </c>
      <c r="C12" s="227"/>
      <c r="D12" s="283"/>
      <c r="E12" s="227"/>
      <c r="F12" s="295" t="s">
        <v>37</v>
      </c>
      <c r="G12" s="720">
        <f>ln03xln02!U58</f>
        <v>11075.554250887788</v>
      </c>
      <c r="H12" s="721">
        <f>ln03xln02!V58</f>
        <v>3151.8909107914228</v>
      </c>
      <c r="I12" s="722">
        <f>ln03xln02!W58</f>
        <v>38918.828549671249</v>
      </c>
      <c r="J12" s="723">
        <f>ln03xln02!Y61</f>
        <v>1.1450759870024447</v>
      </c>
      <c r="K12" s="724">
        <f>ln03xln02!O61</f>
        <v>0.93025180865244539</v>
      </c>
      <c r="L12" s="743">
        <f>ln03xln02!T61</f>
        <v>200451933290.90628</v>
      </c>
      <c r="M12" s="744">
        <f>ln03xln02!AI37</f>
        <v>0.62648999999999999</v>
      </c>
      <c r="N12" s="290"/>
      <c r="O12" t="s">
        <v>34</v>
      </c>
      <c r="R12"/>
      <c r="X12"/>
      <c r="Y12"/>
    </row>
    <row r="13" spans="1:26" ht="18.75">
      <c r="A13" s="757">
        <f>$B$3-4</f>
        <v>2011</v>
      </c>
      <c r="B13" s="21">
        <v>1.2</v>
      </c>
      <c r="C13" s="751">
        <f>'Brd Tbl'!P69</f>
        <v>531235.15156953339</v>
      </c>
      <c r="D13" s="751">
        <f>$C13-((('Brd Tbl'!$P$64)/SQRT('Brd Tbl'!$P$63))*'Brd Tbl'!$P$65)</f>
        <v>503462.62788634916</v>
      </c>
      <c r="E13" s="751">
        <f>$C13+((('Brd Tbl'!$P$64)/SQRT('Brd Tbl'!$P$63))*'Brd Tbl'!$P$65)</f>
        <v>559007.67525271757</v>
      </c>
      <c r="F13" s="22" t="s">
        <v>38</v>
      </c>
      <c r="G13" s="725">
        <f>ln12rpsxBYE!U63</f>
        <v>245009.39620040869</v>
      </c>
      <c r="H13" s="726">
        <f>ln12rpsxBYE!V63</f>
        <v>102584.83896283247</v>
      </c>
      <c r="I13" s="727">
        <f>ln12rpsxBYE!W63</f>
        <v>585170.33153639955</v>
      </c>
      <c r="J13" s="728">
        <f>ln12rpsxBYE!Y66</f>
        <v>0.67891279525777259</v>
      </c>
      <c r="K13" s="729">
        <f>ln12rpsxBYE!O66</f>
        <v>0.44780519333233687</v>
      </c>
      <c r="L13" s="745">
        <f>ln12rpsxBYE!T66</f>
        <v>60219883351.91481</v>
      </c>
      <c r="M13" s="746">
        <f>ln12rpsxBYE!AI41</f>
        <v>0.1019</v>
      </c>
      <c r="N13" s="248"/>
      <c r="O13" t="s">
        <v>307</v>
      </c>
      <c r="R13"/>
      <c r="X13"/>
      <c r="Y13"/>
    </row>
    <row r="14" spans="1:26" ht="19.5" thickBot="1">
      <c r="A14" s="758">
        <f>$B$3-4</f>
        <v>2011</v>
      </c>
      <c r="B14" s="281">
        <v>1.2</v>
      </c>
      <c r="C14" s="294"/>
      <c r="D14" s="294"/>
      <c r="E14" s="294"/>
      <c r="F14" s="295" t="s">
        <v>39</v>
      </c>
      <c r="G14" s="730">
        <f>ln12xln11!U60</f>
        <v>219092.3535968111</v>
      </c>
      <c r="H14" s="731">
        <f>ln12xln11!V60</f>
        <v>87296.637567101774</v>
      </c>
      <c r="I14" s="732">
        <f>ln12xln11!W60</f>
        <v>549866.0743684785</v>
      </c>
      <c r="J14" s="733">
        <f>ln12xln11!Y63</f>
        <v>0.70234695162940564</v>
      </c>
      <c r="K14" s="734">
        <f>ln12xln11!O63</f>
        <v>0.49872147572375963</v>
      </c>
      <c r="L14" s="747">
        <f>ln12xln11!T63</f>
        <v>4170878699424.8198</v>
      </c>
      <c r="M14" s="748">
        <f>ln12xln11!AI38</f>
        <v>2.92E-2</v>
      </c>
      <c r="N14" s="248"/>
      <c r="O14" t="s">
        <v>40</v>
      </c>
      <c r="R14"/>
      <c r="X14"/>
      <c r="Y14"/>
    </row>
    <row r="15" spans="1:26" ht="19.5" thickBot="1">
      <c r="A15" s="757">
        <f t="shared" ref="A15:A21" si="0">$B$3-5</f>
        <v>2010</v>
      </c>
      <c r="B15" s="309">
        <v>1.3</v>
      </c>
      <c r="C15" s="752">
        <f>'Brd Tbl'!V69</f>
        <v>1599238.6427045711</v>
      </c>
      <c r="D15" s="752">
        <f>$C15-((('Brd Tbl'!$V$64)/SQRT('Brd Tbl'!$V$63))*'Brd Tbl'!$V$65)</f>
        <v>1507504.3091825815</v>
      </c>
      <c r="E15" s="752">
        <f>$C15+((('Brd Tbl'!$V$64)/SQRT('Brd Tbl'!$V$63))*'Brd Tbl'!$V$65)</f>
        <v>1690972.9762265608</v>
      </c>
      <c r="F15" s="900" t="s">
        <v>523</v>
      </c>
      <c r="G15" s="725">
        <f>'13=BYE'!P62</f>
        <v>1290782.6676158174</v>
      </c>
      <c r="H15" s="726">
        <f>'13=BYE'!Q62</f>
        <v>704144.91050813673</v>
      </c>
      <c r="I15" s="727">
        <f>'13=BYE'!R62</f>
        <v>1877420.4247234981</v>
      </c>
      <c r="J15" s="735">
        <f>'13=BYE'!T65</f>
        <v>0.41303318071891543</v>
      </c>
      <c r="K15" s="901" t="s">
        <v>359</v>
      </c>
      <c r="L15" s="749">
        <f>'13=BYE'!O65</f>
        <v>203322494825.61465</v>
      </c>
      <c r="M15" s="750">
        <f>'13=BYE'!AD40</f>
        <v>0.24199999999999999</v>
      </c>
      <c r="N15" s="248"/>
      <c r="R15"/>
      <c r="X15"/>
      <c r="Y15"/>
    </row>
    <row r="16" spans="1:26" ht="18.75">
      <c r="A16" s="757">
        <f t="shared" si="0"/>
        <v>2010</v>
      </c>
      <c r="B16" s="309">
        <v>1.3</v>
      </c>
      <c r="C16" s="24"/>
      <c r="D16" s="24"/>
      <c r="E16" s="24"/>
      <c r="F16" s="25" t="s">
        <v>41</v>
      </c>
      <c r="G16" s="725">
        <f>ln13rpsxBYE!U62</f>
        <v>1191867.126665314</v>
      </c>
      <c r="H16" s="726">
        <f>ln13rpsxBYE!V62</f>
        <v>684805.51291895227</v>
      </c>
      <c r="I16" s="727">
        <f>ln13rpsxBYE!W62</f>
        <v>2074380.5661996114</v>
      </c>
      <c r="J16" s="735">
        <f>ln13rpsxBYE!Y65</f>
        <v>0.38206964288358325</v>
      </c>
      <c r="K16" s="736">
        <f>ln13rpsxBYE!O65</f>
        <v>0.18142066370247381</v>
      </c>
      <c r="L16" s="749">
        <f>ln13rpsxBYE!T65</f>
        <v>268081675381.08081</v>
      </c>
      <c r="M16" s="750">
        <f>ln13rpsxBYE!AI40</f>
        <v>0.14149999999999999</v>
      </c>
      <c r="N16" s="248"/>
      <c r="O16" t="s">
        <v>42</v>
      </c>
      <c r="R16"/>
      <c r="X16"/>
      <c r="Y16"/>
    </row>
    <row r="17" spans="1:255" ht="18.75">
      <c r="A17" s="759">
        <f t="shared" si="0"/>
        <v>2010</v>
      </c>
      <c r="B17" s="310">
        <v>1.3</v>
      </c>
      <c r="C17" s="24"/>
      <c r="D17" s="24"/>
      <c r="E17" s="24"/>
      <c r="F17" s="25" t="s">
        <v>43</v>
      </c>
      <c r="G17" s="737">
        <f>ln13xln12!U62</f>
        <v>1853750.604589287</v>
      </c>
      <c r="H17" s="738">
        <f>ln13xln12!V62</f>
        <v>1156438.581565487</v>
      </c>
      <c r="I17" s="739">
        <f>ln13xln12!W62</f>
        <v>2971529.4515366792</v>
      </c>
      <c r="J17" s="740">
        <f>ln13xln12!Y65</f>
        <v>0.30011399684872442</v>
      </c>
      <c r="K17" s="736">
        <f>ln13xln12!O65</f>
        <v>0.13154746871320927</v>
      </c>
      <c r="L17" s="749">
        <f>ln13xln12!T65</f>
        <v>214882478455.05313</v>
      </c>
      <c r="M17" s="750">
        <f>ln13xln12!AI40</f>
        <v>0.49174000000000001</v>
      </c>
      <c r="N17" s="248"/>
      <c r="O17" t="s">
        <v>44</v>
      </c>
      <c r="R17"/>
      <c r="X17"/>
      <c r="Y17"/>
    </row>
    <row r="18" spans="1:255" ht="18.75">
      <c r="A18" s="759">
        <f t="shared" si="0"/>
        <v>2010</v>
      </c>
      <c r="B18" s="310">
        <v>1.3</v>
      </c>
      <c r="C18" s="24"/>
      <c r="D18" s="24"/>
      <c r="E18" s="24"/>
      <c r="F18" s="25" t="s">
        <v>45</v>
      </c>
      <c r="G18" s="725">
        <f>ln13xln03!U62</f>
        <v>860360.51820364676</v>
      </c>
      <c r="H18" s="726">
        <f>ln13xln03!V62</f>
        <v>470076.88356614613</v>
      </c>
      <c r="I18" s="727">
        <f>ln13xln03!W62</f>
        <v>1574679.0517927874</v>
      </c>
      <c r="J18" s="735">
        <f>ln13xln03!Y65</f>
        <v>0.4003531124832318</v>
      </c>
      <c r="K18" s="736">
        <f>ln13xln03!O65</f>
        <v>0.21586076310607286</v>
      </c>
      <c r="L18" s="749">
        <f>ln13xln03!T65</f>
        <v>291814632795.84845</v>
      </c>
      <c r="M18" s="750">
        <f>ln13xln03!AI40</f>
        <v>0.15545999999999999</v>
      </c>
      <c r="N18" s="248"/>
      <c r="O18" t="s">
        <v>308</v>
      </c>
      <c r="R18"/>
      <c r="X18"/>
      <c r="Y18"/>
    </row>
    <row r="19" spans="1:255" ht="19.5" thickBot="1">
      <c r="A19" s="758">
        <f t="shared" si="0"/>
        <v>2010</v>
      </c>
      <c r="B19" s="297">
        <v>1.3</v>
      </c>
      <c r="C19" s="294"/>
      <c r="D19" s="294"/>
      <c r="E19" s="294"/>
      <c r="F19" s="296" t="s">
        <v>302</v>
      </c>
      <c r="G19" s="1136">
        <f>'13 x 12'!P62</f>
        <v>2263895.6102893078</v>
      </c>
      <c r="H19" s="1137">
        <f>'13 x 12'!Q62</f>
        <v>1790430.3751309505</v>
      </c>
      <c r="I19" s="1138">
        <f>'13 x 12'!R62</f>
        <v>2737360.8454476651</v>
      </c>
      <c r="J19" s="1139">
        <f>'13 x 12'!T65</f>
        <v>0.32626201383849496</v>
      </c>
      <c r="K19" s="902" t="s">
        <v>359</v>
      </c>
      <c r="L19" s="747">
        <f>'13 x 12'!O65</f>
        <v>132440739963.85358</v>
      </c>
      <c r="M19" s="748">
        <f>'13 x 12'!AI40</f>
        <v>0.51865494405647705</v>
      </c>
      <c r="N19" s="1140" t="s">
        <v>620</v>
      </c>
      <c r="R19"/>
      <c r="X19"/>
      <c r="Y19"/>
    </row>
    <row r="20" spans="1:255" ht="18.75">
      <c r="A20" s="757">
        <f t="shared" si="0"/>
        <v>2010</v>
      </c>
      <c r="B20" s="293">
        <v>2.2000000000000002</v>
      </c>
      <c r="C20" s="752">
        <f>'Brd Tbl'!AA69</f>
        <v>69924.618977775812</v>
      </c>
      <c r="D20" s="752">
        <f>$C20-((('Brd Tbl'!$AA$64)/SQRT('Brd Tbl'!$AA$63))*'Brd Tbl'!$AA$65)</f>
        <v>65663.877554568084</v>
      </c>
      <c r="E20" s="752">
        <f>$C20+((('Brd Tbl'!$AA$64)/SQRT('Brd Tbl'!$AA$63))*'Brd Tbl'!$AA$65)</f>
        <v>74185.36040098354</v>
      </c>
      <c r="F20" s="25" t="s">
        <v>301</v>
      </c>
      <c r="G20" s="725">
        <f>ln22xBYE!U62</f>
        <v>24468.174285611916</v>
      </c>
      <c r="H20" s="726">
        <f>ln22xBYE!V62</f>
        <v>9577.5656393301688</v>
      </c>
      <c r="I20" s="727">
        <f>ln22xBYE!W62</f>
        <v>62509.783322450952</v>
      </c>
      <c r="J20" s="735">
        <f>ln22xBYE!Y65</f>
        <v>0.67979570589797833</v>
      </c>
      <c r="K20" s="736">
        <f>ln22xBYE!O65</f>
        <v>0.5197621012036644</v>
      </c>
      <c r="L20" s="749">
        <f>ln22xBYE!T65</f>
        <v>701990906.94203341</v>
      </c>
      <c r="M20" s="750">
        <f>ln22xBYE!AI40</f>
        <v>5.0810000000000001E-2</v>
      </c>
      <c r="N20" s="248"/>
      <c r="R20"/>
      <c r="X20"/>
      <c r="Y20"/>
    </row>
    <row r="21" spans="1:255" ht="19.5" thickBot="1">
      <c r="A21" s="758">
        <f t="shared" si="0"/>
        <v>2010</v>
      </c>
      <c r="B21" s="297">
        <v>2.2000000000000002</v>
      </c>
      <c r="C21" s="298"/>
      <c r="D21" s="298"/>
      <c r="E21" s="298"/>
      <c r="F21" s="295" t="s">
        <v>46</v>
      </c>
      <c r="G21" s="730">
        <f>ln22xln12!U62</f>
        <v>40119.843364903849</v>
      </c>
      <c r="H21" s="731">
        <f>ln22xln12!V62</f>
        <v>16984.860618324954</v>
      </c>
      <c r="I21" s="732">
        <f>ln22xln12!W62</f>
        <v>94766.855483513413</v>
      </c>
      <c r="J21" s="733">
        <f>ln22xln12!Y65</f>
        <v>0.59565987498622575</v>
      </c>
      <c r="K21" s="734">
        <f>ln22xln12!O65</f>
        <v>0.43650210825436164</v>
      </c>
      <c r="L21" s="747">
        <f>ln22xln12!T65</f>
        <v>2742737935.2718062</v>
      </c>
      <c r="M21" s="748">
        <f>ln22xln12!AI40</f>
        <v>0.21401000000000001</v>
      </c>
      <c r="N21" s="248"/>
      <c r="R21"/>
      <c r="X21"/>
      <c r="Y21"/>
    </row>
    <row r="22" spans="1:255" ht="18.75">
      <c r="A22" s="760">
        <f>$B$3-6</f>
        <v>2009</v>
      </c>
      <c r="B22" s="293">
        <v>2.2999999999999998</v>
      </c>
      <c r="C22" s="754">
        <f>'Brd Tbl'!AG69</f>
        <v>176706.53158531699</v>
      </c>
      <c r="D22" s="754">
        <f>$C22-((('Brd Tbl'!$AG$64)/SQRT('Brd Tbl'!$AG$63))*'Brd Tbl'!$AG$65)</f>
        <v>162515.68564099455</v>
      </c>
      <c r="E22" s="754">
        <f>$C22+((('Brd Tbl'!$AG$64)/SQRT('Brd Tbl'!$AG$63))*'Brd Tbl'!$AG$65)</f>
        <v>190897.37752963943</v>
      </c>
      <c r="F22" s="25" t="s">
        <v>47</v>
      </c>
      <c r="G22" s="725">
        <f>ln23xln22!U61</f>
        <v>199757.25522746833</v>
      </c>
      <c r="H22" s="726">
        <f>ln23xln22!V61</f>
        <v>85019.003950320621</v>
      </c>
      <c r="I22" s="727">
        <f>ln23xln22!W61</f>
        <v>469341.66670934559</v>
      </c>
      <c r="J22" s="735">
        <f>ln23xln22!Y64</f>
        <v>0.65974043859084985</v>
      </c>
      <c r="K22" s="736">
        <f>ln23xln22!O64</f>
        <v>0.43111497845629687</v>
      </c>
      <c r="L22" s="749">
        <f>ln23xln22!T64</f>
        <v>6139887395.8971806</v>
      </c>
      <c r="M22" s="750">
        <f>ln23xln22!AI39</f>
        <v>0.24657000000000001</v>
      </c>
      <c r="N22" s="248"/>
      <c r="R22"/>
      <c r="X22"/>
      <c r="Y22"/>
    </row>
    <row r="23" spans="1:255" ht="19.5" thickBot="1">
      <c r="A23" s="758">
        <f>$B$3-6</f>
        <v>2009</v>
      </c>
      <c r="B23" s="297">
        <v>2.2999999999999998</v>
      </c>
      <c r="C23" s="302"/>
      <c r="D23" s="302"/>
      <c r="E23" s="302"/>
      <c r="F23" s="25" t="s">
        <v>48</v>
      </c>
      <c r="G23" s="725">
        <f>ln23xln13!U61</f>
        <v>99901.598267203546</v>
      </c>
      <c r="H23" s="726">
        <f>ln23xln13!V61</f>
        <v>41706.873891904463</v>
      </c>
      <c r="I23" s="727">
        <f>ln23xln13!W61</f>
        <v>239296.98884190319</v>
      </c>
      <c r="J23" s="753">
        <f>ln23xln13!Y64</f>
        <v>0.67687713618095424</v>
      </c>
      <c r="K23" s="734">
        <f>ln23xln13!O64</f>
        <v>0.44942435470383568</v>
      </c>
      <c r="L23" s="747">
        <f>ln23xln13!T64</f>
        <v>13968429528.575161</v>
      </c>
      <c r="M23" s="748">
        <f>ln23xln13!AI39</f>
        <v>0.21843000000000001</v>
      </c>
      <c r="N23" s="258"/>
      <c r="O23" s="292" t="s">
        <v>254</v>
      </c>
      <c r="R23"/>
      <c r="X23"/>
      <c r="Y23"/>
    </row>
    <row r="24" spans="1:255" ht="21" thickBot="1">
      <c r="A24" s="397" t="s">
        <v>310</v>
      </c>
      <c r="B24" s="398"/>
      <c r="C24" s="761">
        <f>SUM(C10:C22)</f>
        <v>2423688.8982697199</v>
      </c>
      <c r="D24" s="761">
        <f>SUM(D11:D22)</f>
        <v>2258921.7119200528</v>
      </c>
      <c r="E24" s="761">
        <f>SUM(E11:E22)</f>
        <v>2578870.1163017889</v>
      </c>
      <c r="F24" s="396" t="s">
        <v>285</v>
      </c>
      <c r="G24" s="762">
        <f>C11+C10+G14+G19+G21+C22</f>
        <v>2746398.292268862</v>
      </c>
      <c r="H24" s="763">
        <f>D11+D10+H14+H17+H21+D22</f>
        <v>1443010.9770474676</v>
      </c>
      <c r="I24" s="764">
        <f>E11+E10+I14+I17+I21+E22</f>
        <v>3880473.3178384863</v>
      </c>
      <c r="J24" s="299"/>
      <c r="K24" s="300"/>
      <c r="L24" s="301"/>
      <c r="M24" s="341"/>
      <c r="N24" s="258"/>
      <c r="O24" s="28"/>
      <c r="P24" s="28"/>
    </row>
    <row r="25" spans="1:255" ht="19.5" thickBot="1">
      <c r="A25" s="399" t="s">
        <v>309</v>
      </c>
      <c r="B25" s="400"/>
      <c r="C25" s="761">
        <f>'Brd Tbl'!AN62</f>
        <v>1594922.6285857589</v>
      </c>
      <c r="D25" s="761">
        <f>$C25-((('Brd Tbl'!$AN$64)/SQRT('Brd Tbl'!$AN$63))*'Brd Tbl'!$AN$65)</f>
        <v>1469696.2772949736</v>
      </c>
      <c r="E25" s="761">
        <f>$C25+((('Brd Tbl'!$AN$64)/SQRT('Brd Tbl'!$AN$63))*'Brd Tbl'!$AN$65)</f>
        <v>1720148.9798765441</v>
      </c>
      <c r="F25" s="342"/>
      <c r="G25" s="343"/>
      <c r="H25" s="344"/>
      <c r="I25" s="345"/>
      <c r="J25" s="346"/>
      <c r="K25" s="346"/>
      <c r="L25" s="347"/>
      <c r="M25" s="348"/>
      <c r="N25" s="248"/>
      <c r="O25" s="291"/>
    </row>
    <row r="26" spans="1:255" ht="19.5" thickBot="1">
      <c r="A26" s="319"/>
      <c r="B26" s="319"/>
      <c r="C26" s="321"/>
      <c r="D26" s="321"/>
      <c r="E26" s="321"/>
      <c r="F26" s="322"/>
      <c r="G26" s="323"/>
      <c r="H26" s="323"/>
      <c r="I26" s="323"/>
      <c r="J26" s="324"/>
      <c r="K26" s="324"/>
      <c r="L26" s="325"/>
      <c r="M26" s="324"/>
      <c r="N26" s="326"/>
      <c r="O26" s="227"/>
    </row>
    <row r="27" spans="1:255" ht="22.5">
      <c r="A27" s="349" t="s">
        <v>303</v>
      </c>
      <c r="B27" s="350"/>
      <c r="C27" s="351"/>
      <c r="D27" s="351"/>
      <c r="E27" s="351"/>
      <c r="F27" s="352"/>
      <c r="G27" s="353"/>
      <c r="H27" s="353"/>
      <c r="I27" s="353"/>
      <c r="J27" s="354"/>
      <c r="K27" s="354"/>
      <c r="L27" s="355"/>
      <c r="M27" s="354"/>
      <c r="N27" s="356"/>
      <c r="O27" s="227"/>
    </row>
    <row r="28" spans="1:255" ht="22.9" customHeight="1" thickBot="1">
      <c r="A28" s="357"/>
      <c r="B28" s="42"/>
      <c r="C28" s="42"/>
      <c r="D28" s="227"/>
      <c r="E28" s="227"/>
      <c r="F28" s="227"/>
      <c r="G28" s="263"/>
      <c r="H28" s="227"/>
      <c r="I28" s="227"/>
      <c r="J28" s="227"/>
      <c r="K28" s="227"/>
      <c r="L28" s="303"/>
      <c r="M28" s="239"/>
      <c r="N28" s="358"/>
      <c r="Q28" s="28"/>
      <c r="R28" s="29"/>
      <c r="S28" s="28"/>
      <c r="T28" s="28"/>
      <c r="U28" s="28"/>
      <c r="V28" s="28"/>
      <c r="W28" s="28"/>
      <c r="X28" s="29"/>
      <c r="Y28" s="30"/>
      <c r="Z28" s="28"/>
      <c r="AA28" s="28"/>
      <c r="AB28" s="28"/>
      <c r="AC28" s="28"/>
      <c r="AD28" s="28"/>
      <c r="AE28" s="28"/>
      <c r="AF28" s="28"/>
      <c r="AG28" s="28"/>
      <c r="AH28" s="28"/>
      <c r="AI28" s="28"/>
      <c r="AJ28" s="28"/>
      <c r="AK28" s="28"/>
      <c r="AL28" s="28"/>
      <c r="AM28" s="28"/>
      <c r="AN28" s="28"/>
      <c r="AO28" s="28"/>
      <c r="AP28" s="28"/>
      <c r="AQ28" s="28"/>
      <c r="AR28" s="28"/>
      <c r="AS28" s="28"/>
      <c r="AT28" s="28"/>
      <c r="AU28" s="28"/>
      <c r="AV28" s="28"/>
      <c r="AW28" s="28"/>
      <c r="AX28" s="28"/>
      <c r="AY28" s="28"/>
      <c r="AZ28" s="28"/>
      <c r="BA28" s="28"/>
      <c r="BB28" s="28"/>
      <c r="BC28" s="28"/>
      <c r="BD28" s="28"/>
      <c r="BE28" s="28"/>
      <c r="BF28" s="28"/>
      <c r="BG28" s="28"/>
      <c r="BH28" s="28"/>
      <c r="BI28" s="28"/>
      <c r="BJ28" s="28"/>
      <c r="BK28" s="28"/>
      <c r="BL28" s="28"/>
      <c r="BM28" s="28"/>
      <c r="BN28" s="28"/>
      <c r="BO28" s="28"/>
      <c r="BP28" s="28"/>
      <c r="BQ28" s="28"/>
      <c r="BR28" s="28"/>
      <c r="BS28" s="28"/>
      <c r="BT28" s="28"/>
      <c r="BU28" s="28"/>
      <c r="BV28" s="28"/>
      <c r="BW28" s="28"/>
      <c r="BX28" s="28"/>
      <c r="BY28" s="28"/>
      <c r="BZ28" s="28"/>
      <c r="CA28" s="28"/>
      <c r="CB28" s="28"/>
      <c r="CC28" s="28"/>
      <c r="CD28" s="28"/>
      <c r="CE28" s="28"/>
      <c r="CF28" s="28"/>
      <c r="CG28" s="28"/>
      <c r="CH28" s="28"/>
      <c r="CI28" s="28"/>
      <c r="CJ28" s="28"/>
      <c r="CK28" s="28"/>
      <c r="CL28" s="28"/>
      <c r="CM28" s="28"/>
      <c r="CN28" s="28"/>
      <c r="CO28" s="28"/>
      <c r="CP28" s="28"/>
      <c r="CQ28" s="28"/>
      <c r="CR28" s="28"/>
      <c r="CS28" s="28"/>
      <c r="CT28" s="28"/>
      <c r="CU28" s="28"/>
      <c r="CV28" s="28"/>
      <c r="CW28" s="28"/>
      <c r="CX28" s="28"/>
      <c r="CY28" s="28"/>
      <c r="CZ28" s="28"/>
      <c r="DA28" s="28"/>
      <c r="DB28" s="28"/>
      <c r="DC28" s="28"/>
      <c r="DD28" s="28"/>
      <c r="DE28" s="28"/>
      <c r="DF28" s="28"/>
      <c r="DG28" s="28"/>
      <c r="DH28" s="28"/>
      <c r="DI28" s="28"/>
      <c r="DJ28" s="28"/>
      <c r="DK28" s="28"/>
      <c r="DL28" s="28"/>
      <c r="DM28" s="28"/>
      <c r="DN28" s="28"/>
      <c r="DO28" s="28"/>
      <c r="DP28" s="28"/>
      <c r="DQ28" s="28"/>
      <c r="DR28" s="28"/>
      <c r="DS28" s="28"/>
      <c r="DT28" s="28"/>
      <c r="DU28" s="28"/>
      <c r="DV28" s="28"/>
      <c r="DW28" s="28"/>
      <c r="DX28" s="28"/>
      <c r="DY28" s="28"/>
      <c r="DZ28" s="28"/>
      <c r="EA28" s="28"/>
      <c r="EB28" s="28"/>
      <c r="EC28" s="28"/>
      <c r="ED28" s="28"/>
      <c r="EE28" s="28"/>
      <c r="EF28" s="28"/>
      <c r="EG28" s="28"/>
      <c r="EH28" s="28"/>
      <c r="EI28" s="28"/>
      <c r="EJ28" s="28"/>
      <c r="EK28" s="28"/>
      <c r="EL28" s="28"/>
      <c r="EM28" s="28"/>
      <c r="EN28" s="28"/>
      <c r="EO28" s="28"/>
      <c r="EP28" s="28"/>
      <c r="EQ28" s="28"/>
      <c r="ER28" s="28"/>
      <c r="ES28" s="28"/>
      <c r="ET28" s="28"/>
      <c r="EU28" s="28"/>
      <c r="EV28" s="28"/>
      <c r="EW28" s="28"/>
      <c r="EX28" s="28"/>
      <c r="EY28" s="28"/>
      <c r="EZ28" s="28"/>
      <c r="FA28" s="28"/>
      <c r="FB28" s="28"/>
      <c r="FC28" s="28"/>
      <c r="FD28" s="28"/>
      <c r="FE28" s="28"/>
      <c r="FF28" s="28"/>
      <c r="FG28" s="28"/>
      <c r="FH28" s="28"/>
      <c r="FI28" s="28"/>
      <c r="FJ28" s="28"/>
      <c r="FK28" s="28"/>
      <c r="FL28" s="28"/>
      <c r="FM28" s="28"/>
      <c r="FN28" s="28"/>
      <c r="FO28" s="28"/>
      <c r="FP28" s="28"/>
      <c r="FQ28" s="28"/>
      <c r="FR28" s="28"/>
      <c r="FS28" s="28"/>
      <c r="FT28" s="28"/>
      <c r="FU28" s="28"/>
      <c r="FV28" s="28"/>
      <c r="FW28" s="28"/>
      <c r="FX28" s="28"/>
      <c r="FY28" s="28"/>
      <c r="FZ28" s="28"/>
      <c r="GA28" s="28"/>
      <c r="GB28" s="28"/>
      <c r="GC28" s="28"/>
      <c r="GD28" s="28"/>
      <c r="GE28" s="28"/>
      <c r="GF28" s="28"/>
      <c r="GG28" s="28"/>
      <c r="GH28" s="28"/>
      <c r="GI28" s="28"/>
      <c r="GJ28" s="28"/>
      <c r="GK28" s="28"/>
      <c r="GL28" s="28"/>
      <c r="GM28" s="28"/>
      <c r="GN28" s="28"/>
      <c r="GO28" s="28"/>
      <c r="GP28" s="28"/>
      <c r="GQ28" s="28"/>
      <c r="GR28" s="28"/>
      <c r="GS28" s="28"/>
      <c r="GT28" s="28"/>
      <c r="GU28" s="28"/>
      <c r="GV28" s="28"/>
      <c r="GW28" s="28"/>
      <c r="GX28" s="28"/>
      <c r="GY28" s="28"/>
      <c r="GZ28" s="28"/>
      <c r="HA28" s="28"/>
      <c r="HB28" s="28"/>
      <c r="HC28" s="28"/>
      <c r="HD28" s="28"/>
      <c r="HE28" s="28"/>
      <c r="HF28" s="28"/>
      <c r="HG28" s="28"/>
      <c r="HH28" s="28"/>
      <c r="HI28" s="28"/>
      <c r="HJ28" s="28"/>
      <c r="HK28" s="28"/>
      <c r="HL28" s="28"/>
      <c r="HM28" s="28"/>
      <c r="HN28" s="28"/>
      <c r="HO28" s="28"/>
      <c r="HP28" s="28"/>
      <c r="HQ28" s="28"/>
      <c r="HR28" s="28"/>
      <c r="HS28" s="28"/>
      <c r="HT28" s="28"/>
      <c r="HU28" s="28"/>
      <c r="HV28" s="28"/>
      <c r="HW28" s="28"/>
      <c r="HX28" s="28"/>
      <c r="HY28" s="28"/>
      <c r="HZ28" s="28"/>
      <c r="IA28" s="28"/>
      <c r="IB28" s="28"/>
      <c r="IC28" s="28"/>
      <c r="ID28" s="28"/>
      <c r="IE28" s="28"/>
      <c r="IF28" s="28"/>
      <c r="IG28" s="28"/>
      <c r="IH28" s="28"/>
      <c r="II28" s="28"/>
      <c r="IJ28" s="28"/>
      <c r="IK28" s="28"/>
      <c r="IL28" s="28"/>
      <c r="IM28" s="28"/>
      <c r="IN28" s="28"/>
      <c r="IO28" s="28"/>
      <c r="IP28" s="28"/>
      <c r="IQ28" s="28"/>
      <c r="IR28" s="28"/>
      <c r="IS28" s="28"/>
      <c r="IT28" s="28"/>
      <c r="IU28" s="28"/>
    </row>
    <row r="29" spans="1:255" ht="18.75">
      <c r="A29" s="359"/>
      <c r="B29" s="320"/>
      <c r="C29" s="23" t="s">
        <v>49</v>
      </c>
      <c r="D29" s="427">
        <v>0.83</v>
      </c>
      <c r="E29" s="36"/>
      <c r="F29" s="31"/>
      <c r="G29" s="37"/>
      <c r="H29" s="38"/>
      <c r="I29" s="592" t="s">
        <v>354</v>
      </c>
      <c r="J29" s="39" t="s">
        <v>347</v>
      </c>
      <c r="K29" s="40"/>
      <c r="L29" s="41"/>
      <c r="M29" s="46"/>
      <c r="N29" s="360" t="s">
        <v>52</v>
      </c>
      <c r="R29"/>
      <c r="T29" s="11"/>
      <c r="U29" s="9"/>
      <c r="X29"/>
      <c r="Y29"/>
    </row>
    <row r="30" spans="1:255" ht="19.5" thickBot="1">
      <c r="A30" s="359"/>
      <c r="B30" s="319"/>
      <c r="C30" s="26" t="s">
        <v>50</v>
      </c>
      <c r="D30" s="428">
        <v>0.17</v>
      </c>
      <c r="E30" s="259" t="s">
        <v>55</v>
      </c>
      <c r="F30" s="200" t="s">
        <v>56</v>
      </c>
      <c r="G30" s="328" t="s">
        <v>29</v>
      </c>
      <c r="H30" s="255"/>
      <c r="I30" s="593" t="s">
        <v>355</v>
      </c>
      <c r="J30" s="43" t="s">
        <v>51</v>
      </c>
      <c r="K30" s="44"/>
      <c r="L30" s="45"/>
      <c r="M30" s="49"/>
      <c r="N30" s="361"/>
      <c r="R30"/>
      <c r="T30" s="11"/>
      <c r="U30" s="9"/>
      <c r="X30"/>
      <c r="Y30"/>
    </row>
    <row r="31" spans="1:255" ht="18.75">
      <c r="A31" s="362" t="s">
        <v>286</v>
      </c>
      <c r="B31" s="422">
        <f>B3-5</f>
        <v>2010</v>
      </c>
      <c r="C31" s="23" t="s">
        <v>57</v>
      </c>
      <c r="D31" s="227"/>
      <c r="E31" s="1045">
        <v>1.4999999999999999E-2</v>
      </c>
      <c r="F31" s="1046">
        <v>4660000</v>
      </c>
      <c r="G31" s="1047">
        <f>F31*E31</f>
        <v>69900</v>
      </c>
      <c r="H31" s="1048" t="s">
        <v>298</v>
      </c>
      <c r="I31" s="1049">
        <f>(G31*D29)+(G35*D30)</f>
        <v>73317</v>
      </c>
      <c r="J31" s="263" t="s">
        <v>58</v>
      </c>
      <c r="K31" s="256"/>
      <c r="L31" s="227"/>
      <c r="M31" s="47"/>
      <c r="N31" s="230" t="s">
        <v>52</v>
      </c>
      <c r="R31"/>
      <c r="T31" s="11"/>
      <c r="U31" s="9"/>
      <c r="W31" s="11"/>
      <c r="X31" s="9"/>
      <c r="Y31"/>
    </row>
    <row r="32" spans="1:255" ht="18.75">
      <c r="A32" s="363"/>
      <c r="B32" s="47"/>
      <c r="C32" s="23" t="s">
        <v>59</v>
      </c>
      <c r="D32" s="379" t="s">
        <v>521</v>
      </c>
      <c r="E32" s="1050">
        <f>B31+1</f>
        <v>2011</v>
      </c>
      <c r="F32" s="1065">
        <v>1340000</v>
      </c>
      <c r="G32" s="1051">
        <f>F32*$E$31</f>
        <v>20100</v>
      </c>
      <c r="H32" s="1052" t="s">
        <v>297</v>
      </c>
      <c r="I32" s="1053">
        <f>(G32*D29)+(G36*D30)</f>
        <v>20100</v>
      </c>
      <c r="J32" s="263"/>
      <c r="K32" s="256"/>
      <c r="L32" s="227"/>
      <c r="M32" s="47"/>
      <c r="N32" s="230"/>
      <c r="P32" s="993"/>
      <c r="R32"/>
      <c r="T32" s="11"/>
      <c r="U32" s="9"/>
      <c r="W32" s="11"/>
      <c r="X32" s="9"/>
      <c r="Y32"/>
    </row>
    <row r="33" spans="1:25" ht="18.75">
      <c r="A33" s="364" t="s">
        <v>269</v>
      </c>
      <c r="B33" s="47"/>
      <c r="C33" s="23" t="s">
        <v>60</v>
      </c>
      <c r="D33" s="227"/>
      <c r="E33" s="1054"/>
      <c r="F33" s="1055"/>
      <c r="G33" s="1047">
        <f>SUM(G31:G32)</f>
        <v>90000</v>
      </c>
      <c r="H33" s="1056" t="s">
        <v>299</v>
      </c>
      <c r="I33" s="1053">
        <f>G40+G43</f>
        <v>204944.12314034885</v>
      </c>
      <c r="J33" s="263" t="s">
        <v>61</v>
      </c>
      <c r="K33" s="256"/>
      <c r="L33" s="227"/>
      <c r="M33" s="47"/>
      <c r="N33" s="230"/>
      <c r="P33" s="993"/>
      <c r="R33"/>
      <c r="T33" s="11"/>
      <c r="U33" s="9"/>
      <c r="W33" s="11"/>
      <c r="X33" s="9"/>
      <c r="Y33"/>
    </row>
    <row r="34" spans="1:25" ht="19.5" thickBot="1">
      <c r="A34" s="364" t="s">
        <v>274</v>
      </c>
      <c r="B34" s="47"/>
      <c r="C34" s="26" t="s">
        <v>62</v>
      </c>
      <c r="D34" s="227"/>
      <c r="E34" s="1057"/>
      <c r="F34" s="1058"/>
      <c r="G34" s="1059">
        <f>G33*D29</f>
        <v>74700</v>
      </c>
      <c r="H34" s="1060" t="s">
        <v>300</v>
      </c>
      <c r="I34" s="1061">
        <f>G39+G42</f>
        <v>6164.9878931076373</v>
      </c>
      <c r="J34" s="402" t="s">
        <v>63</v>
      </c>
      <c r="K34" s="44"/>
      <c r="L34" s="42"/>
      <c r="M34" s="49"/>
      <c r="N34" s="361"/>
      <c r="P34" s="993"/>
      <c r="R34"/>
      <c r="T34" s="11"/>
      <c r="U34" s="9"/>
      <c r="W34" s="11"/>
      <c r="X34" s="9"/>
      <c r="Y34"/>
    </row>
    <row r="35" spans="1:25" ht="18.75">
      <c r="A35" s="363"/>
      <c r="B35" s="423">
        <f>B3-4</f>
        <v>2011</v>
      </c>
      <c r="C35" s="36" t="s">
        <v>57</v>
      </c>
      <c r="D35" s="895" t="s">
        <v>521</v>
      </c>
      <c r="E35" s="1062">
        <f>B35+1</f>
        <v>2012</v>
      </c>
      <c r="F35" s="1046">
        <v>6000000</v>
      </c>
      <c r="G35" s="1063">
        <f>F35*$E$31</f>
        <v>90000</v>
      </c>
      <c r="H35" s="1054"/>
      <c r="I35" s="974">
        <f>SUM(I31:I34)</f>
        <v>304526.11103345646</v>
      </c>
      <c r="J35" s="48"/>
      <c r="K35" s="256"/>
      <c r="L35" s="227"/>
      <c r="M35" s="47"/>
      <c r="N35" s="230" t="s">
        <v>52</v>
      </c>
      <c r="R35"/>
      <c r="T35" s="11"/>
      <c r="U35" s="9"/>
      <c r="W35" s="11"/>
      <c r="X35" s="9"/>
      <c r="Y35"/>
    </row>
    <row r="36" spans="1:25" ht="18.75">
      <c r="A36" s="363"/>
      <c r="B36" s="47"/>
      <c r="C36" s="23" t="s">
        <v>59</v>
      </c>
      <c r="D36" s="227"/>
      <c r="E36" s="1064"/>
      <c r="F36" s="1065">
        <v>1340000</v>
      </c>
      <c r="G36" s="1066">
        <f>F36*$E$31</f>
        <v>20100</v>
      </c>
      <c r="H36" s="1054"/>
      <c r="I36" s="1067"/>
      <c r="J36" s="48"/>
      <c r="K36" s="256"/>
      <c r="L36" s="227"/>
      <c r="M36" s="47"/>
      <c r="N36" s="230"/>
      <c r="R36"/>
      <c r="T36" s="11"/>
      <c r="U36" s="9"/>
      <c r="W36" s="11"/>
      <c r="X36" s="9"/>
      <c r="Y36"/>
    </row>
    <row r="37" spans="1:25" ht="18.75">
      <c r="A37" s="363"/>
      <c r="B37" s="47"/>
      <c r="C37" s="23" t="s">
        <v>60</v>
      </c>
      <c r="D37" s="227"/>
      <c r="E37" s="1054"/>
      <c r="F37" s="1068"/>
      <c r="G37" s="1063">
        <f>SUM(G35:G36)</f>
        <v>110100</v>
      </c>
      <c r="H37" s="1068"/>
      <c r="I37" s="1067"/>
      <c r="J37" s="48" t="s">
        <v>61</v>
      </c>
      <c r="K37" s="256"/>
      <c r="L37" s="227"/>
      <c r="M37" s="47"/>
      <c r="N37" s="230"/>
      <c r="R37"/>
      <c r="T37" s="11"/>
      <c r="U37" s="9"/>
      <c r="W37" s="11"/>
      <c r="X37" s="9"/>
      <c r="Y37"/>
    </row>
    <row r="38" spans="1:25" ht="18.75">
      <c r="A38" s="363"/>
      <c r="B38" s="47"/>
      <c r="C38" s="23" t="s">
        <v>64</v>
      </c>
      <c r="D38" s="227"/>
      <c r="E38" s="1054"/>
      <c r="F38" s="1068"/>
      <c r="G38" s="1066">
        <f>G37*D30</f>
        <v>18717</v>
      </c>
      <c r="H38" s="1068"/>
      <c r="I38" s="1067"/>
      <c r="J38" s="43" t="s">
        <v>63</v>
      </c>
      <c r="K38" s="44"/>
      <c r="L38" s="42"/>
      <c r="M38" s="49"/>
      <c r="N38" s="230"/>
      <c r="R38"/>
      <c r="T38" s="11"/>
      <c r="U38" s="9"/>
      <c r="W38" s="11"/>
      <c r="X38" s="9"/>
      <c r="Y38"/>
    </row>
    <row r="39" spans="1:25" ht="18.75">
      <c r="A39" s="365" t="s">
        <v>286</v>
      </c>
      <c r="B39" s="423">
        <f>B31</f>
        <v>2010</v>
      </c>
      <c r="C39" s="36" t="s">
        <v>53</v>
      </c>
      <c r="D39" s="31"/>
      <c r="E39" s="1069">
        <v>1.6670238803323283E-2</v>
      </c>
      <c r="F39" s="1070">
        <v>314911</v>
      </c>
      <c r="G39" s="1063">
        <f>F39*E39</f>
        <v>5249.6415717933387</v>
      </c>
      <c r="H39" s="1071" t="s">
        <v>546</v>
      </c>
      <c r="I39" s="973">
        <f>B39+2</f>
        <v>2012</v>
      </c>
      <c r="J39" s="257" t="s">
        <v>271</v>
      </c>
      <c r="K39" s="256"/>
      <c r="L39" s="227"/>
      <c r="M39" s="47"/>
      <c r="N39" s="421" t="s">
        <v>326</v>
      </c>
      <c r="R39"/>
      <c r="T39" s="11"/>
      <c r="U39" s="9"/>
      <c r="W39" s="11"/>
      <c r="X39" s="9"/>
      <c r="Y39"/>
    </row>
    <row r="40" spans="1:25" ht="18.75">
      <c r="A40" s="364"/>
      <c r="B40" s="47"/>
      <c r="C40" s="23" t="s">
        <v>54</v>
      </c>
      <c r="D40" s="227"/>
      <c r="E40" s="1072">
        <v>0.13178285597662687</v>
      </c>
      <c r="F40" s="1065">
        <v>965947</v>
      </c>
      <c r="G40" s="1073">
        <f>F40*E40</f>
        <v>127295.25438205479</v>
      </c>
      <c r="H40" s="1054"/>
      <c r="I40" s="1067"/>
      <c r="J40" s="51" t="s">
        <v>272</v>
      </c>
      <c r="K40" s="256"/>
      <c r="L40" s="227"/>
      <c r="M40" s="47"/>
      <c r="N40" s="421" t="s">
        <v>326</v>
      </c>
      <c r="R40"/>
      <c r="T40" s="11"/>
      <c r="U40" s="9"/>
      <c r="W40" s="11"/>
      <c r="X40" s="9"/>
      <c r="Y40"/>
    </row>
    <row r="41" spans="1:25" ht="18.75">
      <c r="A41" s="364" t="s">
        <v>270</v>
      </c>
      <c r="B41" s="47"/>
      <c r="C41" s="26" t="s">
        <v>62</v>
      </c>
      <c r="D41" s="227"/>
      <c r="E41" s="1074"/>
      <c r="F41" s="1075"/>
      <c r="G41" s="1076">
        <f>G40+G39</f>
        <v>132544.89595384811</v>
      </c>
      <c r="H41" s="1077"/>
      <c r="I41" s="1067"/>
      <c r="J41" s="48" t="s">
        <v>327</v>
      </c>
      <c r="K41" s="256"/>
      <c r="L41" s="227"/>
      <c r="M41" s="47"/>
      <c r="N41" s="361"/>
      <c r="R41"/>
      <c r="T41" s="11"/>
      <c r="U41" s="9"/>
      <c r="W41" s="11"/>
      <c r="X41" s="9"/>
      <c r="Y41"/>
    </row>
    <row r="42" spans="1:25" ht="18.75">
      <c r="A42" s="364" t="s">
        <v>287</v>
      </c>
      <c r="B42" s="423">
        <f>B35</f>
        <v>2011</v>
      </c>
      <c r="C42" s="36" t="s">
        <v>53</v>
      </c>
      <c r="D42" s="31"/>
      <c r="E42" s="1069">
        <v>4.465104006411212E-3</v>
      </c>
      <c r="F42" s="1070">
        <v>205000</v>
      </c>
      <c r="G42" s="1063">
        <f>F42*E42</f>
        <v>915.34632131429851</v>
      </c>
      <c r="H42" s="1054" t="s">
        <v>546</v>
      </c>
      <c r="I42" s="973">
        <f>B42+2</f>
        <v>2013</v>
      </c>
      <c r="J42" s="48"/>
      <c r="K42" s="256"/>
      <c r="L42" s="227"/>
      <c r="M42" s="47"/>
      <c r="N42" s="421" t="s">
        <v>326</v>
      </c>
      <c r="R42"/>
      <c r="T42" s="11"/>
      <c r="U42" s="9"/>
      <c r="W42" s="11"/>
      <c r="X42" s="9"/>
      <c r="Y42"/>
    </row>
    <row r="43" spans="1:25" ht="18.75">
      <c r="A43" s="364" t="s">
        <v>288</v>
      </c>
      <c r="B43" s="47"/>
      <c r="C43" s="23" t="s">
        <v>54</v>
      </c>
      <c r="D43" s="227"/>
      <c r="E43" s="1072">
        <v>5.9729899044841592E-2</v>
      </c>
      <c r="F43" s="1122">
        <v>1300000</v>
      </c>
      <c r="G43" s="1073">
        <f>F43*E43</f>
        <v>77648.868758294062</v>
      </c>
      <c r="H43" s="1078"/>
      <c r="I43" s="1067"/>
      <c r="J43" s="51"/>
      <c r="K43" s="256"/>
      <c r="L43" s="227"/>
      <c r="M43" s="47"/>
      <c r="N43" s="230"/>
      <c r="R43"/>
      <c r="T43" s="11"/>
      <c r="U43" s="9"/>
      <c r="W43" s="11"/>
      <c r="X43" s="9"/>
      <c r="Y43"/>
    </row>
    <row r="44" spans="1:25" ht="19.5" thickBot="1">
      <c r="A44" s="357"/>
      <c r="B44" s="49"/>
      <c r="C44" s="26" t="s">
        <v>64</v>
      </c>
      <c r="D44" s="42"/>
      <c r="E44" s="1057"/>
      <c r="F44" s="1079"/>
      <c r="G44" s="1076">
        <f>G43+G42</f>
        <v>78564.215079608359</v>
      </c>
      <c r="H44" s="1079"/>
      <c r="I44" s="1080"/>
      <c r="J44" s="43"/>
      <c r="K44" s="44"/>
      <c r="L44" s="42"/>
      <c r="M44" s="49"/>
      <c r="N44" s="230"/>
      <c r="R44"/>
      <c r="T44" s="11"/>
      <c r="U44" s="9"/>
      <c r="W44" s="11"/>
      <c r="X44" s="9"/>
      <c r="Y44"/>
    </row>
    <row r="45" spans="1:25" ht="30" customHeight="1" thickBot="1">
      <c r="A45" s="408" t="s">
        <v>65</v>
      </c>
      <c r="B45" s="409"/>
      <c r="C45" s="409"/>
      <c r="D45" s="409"/>
      <c r="E45" s="905"/>
      <c r="F45" s="367"/>
      <c r="G45" s="1081">
        <f>'Fry to adult survival'!G60</f>
        <v>445880.49500421208</v>
      </c>
      <c r="H45" s="1101">
        <f>G$45-(Performance!$H$48*G$45)</f>
        <v>318525.28117730073</v>
      </c>
      <c r="I45" s="1102">
        <f>G$45+(Performance!$H$48*G$45)</f>
        <v>573235.70883112343</v>
      </c>
      <c r="J45" s="368" t="s">
        <v>66</v>
      </c>
      <c r="K45" s="369"/>
      <c r="L45" s="366"/>
      <c r="M45" s="370"/>
      <c r="N45" s="371" t="s">
        <v>273</v>
      </c>
      <c r="R45"/>
      <c r="T45" s="11"/>
      <c r="U45" s="9"/>
      <c r="W45" s="11"/>
      <c r="X45" s="9"/>
      <c r="Y45"/>
    </row>
    <row r="46" spans="1:25" ht="18.75">
      <c r="A46" s="372"/>
      <c r="B46" s="330"/>
      <c r="C46" s="330"/>
      <c r="D46" s="330"/>
      <c r="E46" s="353"/>
      <c r="F46" s="330"/>
      <c r="G46" s="373"/>
      <c r="H46" s="330"/>
      <c r="I46" s="374"/>
      <c r="J46" s="375"/>
      <c r="K46" s="330"/>
      <c r="L46" s="330"/>
      <c r="M46" s="376"/>
      <c r="N46" s="377"/>
      <c r="R46"/>
      <c r="T46" s="11"/>
      <c r="U46" s="9"/>
      <c r="W46" s="11"/>
      <c r="X46" s="9"/>
      <c r="Y46"/>
    </row>
    <row r="47" spans="1:25" ht="22.5">
      <c r="A47" s="334" t="s">
        <v>67</v>
      </c>
      <c r="B47" s="227"/>
      <c r="C47" s="227"/>
      <c r="D47" s="227"/>
      <c r="E47" s="323"/>
      <c r="F47" s="227"/>
      <c r="G47" s="34"/>
      <c r="H47" s="227"/>
      <c r="I47" s="53"/>
      <c r="J47" s="23"/>
      <c r="K47" s="227"/>
      <c r="L47" s="227"/>
      <c r="M47" s="47"/>
      <c r="N47" s="230"/>
      <c r="R47"/>
      <c r="T47" s="11"/>
      <c r="U47" s="9"/>
      <c r="X47"/>
      <c r="Y47"/>
    </row>
    <row r="48" spans="1:25" ht="19.5" thickBot="1">
      <c r="A48" s="363"/>
      <c r="B48" s="227"/>
      <c r="C48" s="227"/>
      <c r="D48" s="227"/>
      <c r="E48" s="571"/>
      <c r="F48" s="227"/>
      <c r="G48" s="34"/>
      <c r="H48" s="765">
        <f>H45+H24</f>
        <v>1761536.2582247683</v>
      </c>
      <c r="I48" s="765">
        <f>I45+I24</f>
        <v>4453709.0266696094</v>
      </c>
      <c r="J48" s="48" t="s">
        <v>337</v>
      </c>
      <c r="K48" s="227"/>
      <c r="L48" s="227"/>
      <c r="M48" s="47"/>
      <c r="N48" s="230"/>
      <c r="R48"/>
      <c r="X48"/>
      <c r="Y48"/>
    </row>
    <row r="49" spans="1:25" ht="19.5" thickBot="1">
      <c r="A49" s="378" t="s">
        <v>68</v>
      </c>
      <c r="B49" s="227"/>
      <c r="C49" s="227"/>
      <c r="D49" s="227"/>
      <c r="E49" s="227"/>
      <c r="F49" s="379" t="s">
        <v>71</v>
      </c>
      <c r="G49" s="551">
        <f>G45+G24</f>
        <v>3192278.787273074</v>
      </c>
      <c r="H49" s="765">
        <f>G49-Performance!G48</f>
        <v>2280479.8812804827</v>
      </c>
      <c r="I49" s="766">
        <f>G49+Performance!G48</f>
        <v>4104077.6932656653</v>
      </c>
      <c r="J49" s="48" t="s">
        <v>72</v>
      </c>
      <c r="K49" s="227"/>
      <c r="L49" s="227"/>
      <c r="M49" s="47"/>
      <c r="N49" s="570"/>
      <c r="R49"/>
      <c r="W49" s="11"/>
      <c r="X49" s="9"/>
      <c r="Y49"/>
    </row>
    <row r="50" spans="1:25" ht="19.5" thickBot="1">
      <c r="A50" s="363"/>
      <c r="B50" s="227"/>
      <c r="C50" s="227"/>
      <c r="D50" s="227">
        <v>471000</v>
      </c>
      <c r="E50" s="227"/>
      <c r="F50" s="227"/>
      <c r="G50" s="34"/>
      <c r="H50" s="227"/>
      <c r="I50" s="53"/>
      <c r="J50" s="48"/>
      <c r="K50" s="571"/>
      <c r="L50" s="571"/>
      <c r="M50" s="47"/>
      <c r="N50" s="570"/>
      <c r="R50"/>
      <c r="W50" s="11"/>
      <c r="X50" s="9"/>
      <c r="Y50"/>
    </row>
    <row r="51" spans="1:25" ht="19.5" thickBot="1">
      <c r="A51" s="378" t="s">
        <v>306</v>
      </c>
      <c r="B51" s="227"/>
      <c r="C51" s="227"/>
      <c r="D51" s="227"/>
      <c r="E51" s="227"/>
      <c r="F51" s="937" t="s">
        <v>529</v>
      </c>
      <c r="G51" s="1103">
        <f>G24</f>
        <v>2746398.292268862</v>
      </c>
      <c r="H51" s="1101">
        <f>G$51-(Performance!$H$48*G$51)</f>
        <v>1961954.6001031823</v>
      </c>
      <c r="I51" s="1102">
        <f>G$51+(Performance!$H$48*G$51)</f>
        <v>3530841.9844345418</v>
      </c>
      <c r="J51" s="48" t="s">
        <v>345</v>
      </c>
      <c r="K51" s="571"/>
      <c r="L51" s="571"/>
      <c r="M51" s="47"/>
      <c r="N51" s="230"/>
      <c r="R51"/>
      <c r="W51" s="11"/>
      <c r="X51" s="9"/>
      <c r="Y51"/>
    </row>
    <row r="52" spans="1:25" ht="18.75">
      <c r="A52" s="363"/>
      <c r="B52" s="227"/>
      <c r="C52" s="227"/>
      <c r="D52" s="227"/>
      <c r="E52" s="227"/>
      <c r="F52" s="227"/>
      <c r="G52" s="34"/>
      <c r="H52" s="227"/>
      <c r="I52" s="53"/>
      <c r="J52" s="48"/>
      <c r="K52" s="227"/>
      <c r="L52" s="227"/>
      <c r="M52" s="47"/>
      <c r="N52" s="230"/>
      <c r="R52"/>
      <c r="W52" s="11"/>
      <c r="X52" s="9"/>
      <c r="Y52"/>
    </row>
    <row r="53" spans="1:25" ht="18.75">
      <c r="A53" s="378" t="s">
        <v>73</v>
      </c>
      <c r="B53" s="227"/>
      <c r="C53" s="227"/>
      <c r="D53" s="227"/>
      <c r="E53" s="227"/>
      <c r="F53" s="263" t="s">
        <v>69</v>
      </c>
      <c r="G53" s="425">
        <f>84500*2</f>
        <v>169000</v>
      </c>
      <c r="H53" s="562">
        <v>55000</v>
      </c>
      <c r="I53" s="563">
        <v>130000</v>
      </c>
      <c r="J53" s="48" t="s">
        <v>338</v>
      </c>
      <c r="K53" s="227"/>
      <c r="L53" s="227" t="s">
        <v>340</v>
      </c>
      <c r="M53" s="47"/>
      <c r="N53" s="230"/>
      <c r="R53"/>
      <c r="W53" s="11"/>
      <c r="X53" s="9"/>
      <c r="Y53"/>
    </row>
    <row r="54" spans="1:25" ht="18.75">
      <c r="A54" s="363"/>
      <c r="B54" s="227"/>
      <c r="C54" s="227"/>
      <c r="D54" s="227"/>
      <c r="E54" s="227"/>
      <c r="F54" s="263" t="s">
        <v>70</v>
      </c>
      <c r="G54" s="52">
        <v>450000</v>
      </c>
      <c r="H54" s="562">
        <v>360000</v>
      </c>
      <c r="I54" s="563">
        <v>750000</v>
      </c>
      <c r="J54" s="48" t="s">
        <v>339</v>
      </c>
      <c r="K54" s="227"/>
      <c r="L54" s="227" t="s">
        <v>537</v>
      </c>
      <c r="M54" s="47"/>
      <c r="N54" s="230"/>
      <c r="R54"/>
      <c r="W54" s="11"/>
      <c r="X54" s="9"/>
      <c r="Y54"/>
    </row>
    <row r="55" spans="1:25" ht="18.75">
      <c r="A55" s="363"/>
      <c r="B55" s="227"/>
      <c r="C55" s="227"/>
      <c r="D55" s="227"/>
      <c r="E55" s="227"/>
      <c r="F55" s="379" t="s">
        <v>71</v>
      </c>
      <c r="G55" s="426">
        <f>G53+G54</f>
        <v>619000</v>
      </c>
      <c r="H55" s="227"/>
      <c r="I55" s="35"/>
      <c r="J55" s="48"/>
      <c r="K55" s="227"/>
      <c r="L55" s="227"/>
      <c r="M55" s="47"/>
      <c r="N55" s="230"/>
      <c r="R55"/>
      <c r="W55" s="11"/>
      <c r="X55" s="9"/>
      <c r="Y55"/>
    </row>
    <row r="56" spans="1:25" ht="18.75">
      <c r="A56" s="363"/>
      <c r="B56" s="227"/>
      <c r="C56" s="227"/>
      <c r="D56" s="227"/>
      <c r="E56" s="227"/>
      <c r="F56" s="227"/>
      <c r="G56" s="34"/>
      <c r="H56" s="379"/>
      <c r="I56" s="53"/>
      <c r="J56" s="48"/>
      <c r="K56" s="227"/>
      <c r="L56" s="227"/>
      <c r="M56" s="47"/>
      <c r="N56" s="230"/>
      <c r="R56"/>
      <c r="W56" s="11"/>
      <c r="X56" s="9"/>
      <c r="Y56"/>
    </row>
    <row r="57" spans="1:25" ht="18.75">
      <c r="A57" s="378" t="s">
        <v>341</v>
      </c>
      <c r="B57" s="227"/>
      <c r="C57" s="227"/>
      <c r="D57" s="227"/>
      <c r="E57" s="227"/>
      <c r="F57" s="379" t="s">
        <v>71</v>
      </c>
      <c r="G57" s="599">
        <f>G51-G55</f>
        <v>2127398.292268862</v>
      </c>
      <c r="H57" s="765">
        <f>IF(G57-(Performance!$L$48*G57)&lt;0, 0, G57-(Performance!$L$48*G57))</f>
        <v>1483713.2677792618</v>
      </c>
      <c r="I57" s="766">
        <f>G57+(Performance!$L$48*G57)</f>
        <v>2771083.3167584622</v>
      </c>
      <c r="J57" s="48"/>
      <c r="K57" s="227"/>
      <c r="L57" s="227"/>
      <c r="M57" s="47"/>
      <c r="N57" s="230"/>
      <c r="R57"/>
      <c r="W57" s="11"/>
      <c r="X57" s="9"/>
      <c r="Y57"/>
    </row>
    <row r="58" spans="1:25" ht="18.75">
      <c r="B58" s="227"/>
      <c r="C58" s="227"/>
      <c r="D58" s="227"/>
      <c r="E58" s="227"/>
      <c r="F58" s="564" t="s">
        <v>342</v>
      </c>
      <c r="G58" s="1104">
        <f>G78-G64</f>
        <v>1983606.7516645307</v>
      </c>
      <c r="H58" s="1105">
        <f>IF(G58-(Performance!$L$48*G58)&lt;0, 0, G58-(Performance!$L$48*G58))</f>
        <v>1383428.6067619142</v>
      </c>
      <c r="I58" s="1106">
        <f>G58+(Performance!$L$48*G58)</f>
        <v>2583784.8965671472</v>
      </c>
      <c r="J58" s="48"/>
      <c r="K58" s="227"/>
      <c r="L58" s="227"/>
      <c r="M58" s="47"/>
      <c r="N58" s="230"/>
      <c r="R58"/>
      <c r="W58" s="11"/>
      <c r="X58" s="9"/>
      <c r="Y58"/>
    </row>
    <row r="59" spans="1:25" ht="18.75">
      <c r="A59" s="378" t="s">
        <v>74</v>
      </c>
      <c r="B59" s="227"/>
      <c r="C59" s="227"/>
      <c r="D59" s="227"/>
      <c r="E59" s="227"/>
      <c r="F59" s="227"/>
      <c r="G59" s="34"/>
      <c r="H59" s="227"/>
      <c r="I59" s="55"/>
      <c r="J59" s="48"/>
      <c r="K59" s="227"/>
      <c r="L59" s="227"/>
      <c r="M59" s="47"/>
      <c r="N59" s="230"/>
      <c r="R59"/>
      <c r="W59" s="11"/>
      <c r="X59" s="9"/>
      <c r="Y59"/>
    </row>
    <row r="60" spans="1:25" ht="18.75">
      <c r="A60" s="380"/>
      <c r="B60" s="263" t="s">
        <v>256</v>
      </c>
      <c r="C60" s="381"/>
      <c r="D60" s="227"/>
      <c r="E60" s="381"/>
      <c r="F60" s="381"/>
      <c r="G60" s="962">
        <v>0.7</v>
      </c>
      <c r="H60" s="382"/>
      <c r="I60" s="961"/>
      <c r="J60" s="955" t="s">
        <v>534</v>
      </c>
      <c r="K60" s="227"/>
      <c r="L60" s="227"/>
      <c r="M60" s="47"/>
      <c r="N60" s="591"/>
      <c r="R60"/>
      <c r="W60" s="11"/>
      <c r="X60" s="9"/>
      <c r="Y60"/>
    </row>
    <row r="61" spans="1:25" ht="18.75">
      <c r="A61" s="363"/>
      <c r="B61" s="263" t="s">
        <v>75</v>
      </c>
      <c r="C61" s="227"/>
      <c r="D61" s="381"/>
      <c r="E61" s="381"/>
      <c r="F61" s="381"/>
      <c r="G61" s="590">
        <v>0.81030003696038611</v>
      </c>
      <c r="H61" s="381"/>
      <c r="I61" s="35"/>
      <c r="J61" s="956" t="s">
        <v>535</v>
      </c>
      <c r="K61" s="227"/>
      <c r="L61" s="227"/>
      <c r="M61" s="47"/>
      <c r="N61" s="591"/>
      <c r="R61"/>
      <c r="W61" s="11"/>
      <c r="X61" s="9"/>
      <c r="Y61"/>
    </row>
    <row r="62" spans="1:25" ht="19.5" thickBot="1">
      <c r="A62" s="363"/>
      <c r="B62" s="227"/>
      <c r="C62" s="227"/>
      <c r="D62" s="227"/>
      <c r="E62" s="227"/>
      <c r="F62" s="227"/>
      <c r="G62" s="34"/>
      <c r="H62" s="227"/>
      <c r="I62" s="55"/>
      <c r="J62" s="48"/>
      <c r="K62" s="227"/>
      <c r="L62" s="227"/>
      <c r="M62" s="47"/>
      <c r="N62" s="230"/>
      <c r="R62"/>
      <c r="W62" s="11"/>
      <c r="X62" s="9"/>
      <c r="Y62"/>
    </row>
    <row r="63" spans="1:25" ht="19.5" thickBot="1">
      <c r="A63" s="363"/>
      <c r="B63" s="381" t="s">
        <v>480</v>
      </c>
      <c r="C63" s="381"/>
      <c r="D63" s="381"/>
      <c r="E63" s="381"/>
      <c r="F63" s="381"/>
      <c r="G63" s="1107">
        <f>G60*G45</f>
        <v>312116.34650294844</v>
      </c>
      <c r="H63" s="1105">
        <f>IF(G63-(Performance!$L$48*G63)&lt;0,0,G63-(Performance!$L$48*G63))</f>
        <v>217679.57889226708</v>
      </c>
      <c r="I63" s="1106">
        <f>G63+(Performance!$L$48*G63)</f>
        <v>406553.1141136298</v>
      </c>
      <c r="J63" s="48" t="s">
        <v>76</v>
      </c>
      <c r="K63" s="227"/>
      <c r="L63" s="227"/>
      <c r="M63" s="47"/>
      <c r="N63" s="230"/>
      <c r="R63"/>
      <c r="W63" s="11"/>
      <c r="X63" s="9"/>
      <c r="Y63"/>
    </row>
    <row r="64" spans="1:25" ht="18.75">
      <c r="A64" s="363"/>
      <c r="B64" s="381"/>
      <c r="C64" s="381" t="s">
        <v>478</v>
      </c>
      <c r="D64" s="381"/>
      <c r="E64" s="381"/>
      <c r="F64" s="381"/>
      <c r="G64" s="600">
        <f>G61*G63</f>
        <v>252907.88710727979</v>
      </c>
      <c r="H64" s="765">
        <f>IF(G64-(Performance!$L$48*G64)&lt;0,0,G64-(Performance!$L$48*G64))</f>
        <v>176385.77082192528</v>
      </c>
      <c r="I64" s="766">
        <f>G64+(Performance!$L$48*G64)</f>
        <v>329430.00339263433</v>
      </c>
      <c r="J64" s="48" t="s">
        <v>77</v>
      </c>
      <c r="K64" s="227"/>
      <c r="L64" s="227"/>
      <c r="M64" s="47"/>
      <c r="N64" s="230"/>
      <c r="R64"/>
      <c r="W64" s="11"/>
      <c r="X64" s="9"/>
      <c r="Y64"/>
    </row>
    <row r="65" spans="1:25" ht="18.75">
      <c r="A65" s="363"/>
      <c r="B65" s="381"/>
      <c r="C65" s="381" t="s">
        <v>479</v>
      </c>
      <c r="D65" s="381"/>
      <c r="E65" s="381"/>
      <c r="F65" s="381"/>
      <c r="G65" s="601">
        <f>G63-G64</f>
        <v>59208.459395668644</v>
      </c>
      <c r="H65" s="381"/>
      <c r="I65" s="35"/>
      <c r="J65" s="48" t="s">
        <v>78</v>
      </c>
      <c r="K65" s="227"/>
      <c r="L65" s="227"/>
      <c r="M65" s="47"/>
      <c r="N65" s="230"/>
      <c r="R65"/>
      <c r="W65" s="11"/>
      <c r="X65" s="9"/>
      <c r="Y65"/>
    </row>
    <row r="66" spans="1:25" ht="19.5" thickBot="1">
      <c r="A66" s="383"/>
      <c r="B66" s="269" t="s">
        <v>79</v>
      </c>
      <c r="C66" s="269"/>
      <c r="D66" s="269"/>
      <c r="E66" s="269"/>
      <c r="F66" s="269"/>
      <c r="G66" s="602">
        <f>G45-G63</f>
        <v>133764.14850126364</v>
      </c>
      <c r="H66" s="269"/>
      <c r="I66" s="270"/>
      <c r="J66" s="271" t="s">
        <v>80</v>
      </c>
      <c r="K66" s="272"/>
      <c r="L66" s="272"/>
      <c r="M66" s="273"/>
      <c r="N66" s="384"/>
      <c r="R66"/>
      <c r="X66"/>
      <c r="Y66"/>
    </row>
    <row r="67" spans="1:25" ht="20.25" thickTop="1" thickBot="1">
      <c r="A67" s="385" t="s">
        <v>540</v>
      </c>
      <c r="B67" s="381"/>
      <c r="C67" s="381"/>
      <c r="D67" s="227"/>
      <c r="E67" s="42"/>
      <c r="F67" s="250"/>
      <c r="G67" s="124"/>
      <c r="H67" s="255"/>
      <c r="I67" s="35"/>
      <c r="J67" s="48"/>
      <c r="K67" s="227"/>
      <c r="L67" s="227"/>
      <c r="M67" s="47"/>
      <c r="N67" s="386"/>
      <c r="P67" s="56"/>
      <c r="R67"/>
      <c r="X67"/>
      <c r="Y67"/>
    </row>
    <row r="68" spans="1:25" ht="19.5" thickTop="1">
      <c r="A68" s="363"/>
      <c r="B68" s="36" t="s">
        <v>289</v>
      </c>
      <c r="C68" s="31"/>
      <c r="D68" s="31"/>
      <c r="E68" s="31"/>
      <c r="F68" s="261" t="s">
        <v>290</v>
      </c>
      <c r="G68" s="594">
        <v>360000</v>
      </c>
      <c r="H68" s="1158" t="s">
        <v>293</v>
      </c>
      <c r="I68" s="1159"/>
      <c r="J68" s="23" t="s">
        <v>547</v>
      </c>
      <c r="K68" s="227"/>
      <c r="L68" s="227"/>
      <c r="M68" s="47"/>
      <c r="N68" s="386"/>
      <c r="P68" s="56"/>
      <c r="R68"/>
      <c r="X68"/>
      <c r="Y68"/>
    </row>
    <row r="69" spans="1:25" ht="18.75">
      <c r="A69" s="363"/>
      <c r="B69" s="43"/>
      <c r="C69" s="50"/>
      <c r="D69" s="227"/>
      <c r="F69" s="260" t="s">
        <v>344</v>
      </c>
      <c r="G69" s="595">
        <v>17500</v>
      </c>
      <c r="H69" s="267" t="s">
        <v>291</v>
      </c>
      <c r="I69" s="268" t="s">
        <v>292</v>
      </c>
      <c r="J69" s="23"/>
      <c r="K69" s="227"/>
      <c r="L69" s="227"/>
      <c r="M69" s="47"/>
      <c r="N69" s="387"/>
      <c r="P69" s="56"/>
      <c r="R69"/>
      <c r="X69"/>
      <c r="Y69"/>
    </row>
    <row r="70" spans="1:25" ht="18.75">
      <c r="A70" s="363"/>
      <c r="B70" s="959" t="s">
        <v>611</v>
      </c>
      <c r="C70" s="31"/>
      <c r="D70" s="31"/>
      <c r="E70" s="31"/>
      <c r="F70" s="227"/>
      <c r="G70" s="651">
        <v>74000</v>
      </c>
      <c r="H70" s="608">
        <v>0.95229958801747916</v>
      </c>
      <c r="I70" s="607">
        <f>G70*H70</f>
        <v>70470.169513293455</v>
      </c>
      <c r="J70" s="262"/>
      <c r="K70" s="227"/>
      <c r="L70" s="227"/>
      <c r="M70" s="47"/>
      <c r="N70" s="386"/>
      <c r="O70" s="274" t="s">
        <v>522</v>
      </c>
      <c r="P70" s="56"/>
      <c r="R70"/>
      <c r="X70"/>
      <c r="Y70"/>
    </row>
    <row r="71" spans="1:25" ht="18.75">
      <c r="A71" s="363"/>
      <c r="B71" s="958" t="s">
        <v>610</v>
      </c>
      <c r="C71" s="227"/>
      <c r="D71" s="227"/>
      <c r="E71" s="227"/>
      <c r="F71" s="227"/>
      <c r="G71" s="652">
        <v>114000</v>
      </c>
      <c r="H71" s="767">
        <f>H70</f>
        <v>0.95229958801747916</v>
      </c>
      <c r="I71" s="606">
        <f>G71*H70</f>
        <v>108562.15303399262</v>
      </c>
      <c r="J71" s="227"/>
      <c r="K71" s="227"/>
      <c r="L71" s="227"/>
      <c r="M71" s="47"/>
      <c r="N71" s="387"/>
      <c r="O71" s="274" t="s">
        <v>538</v>
      </c>
      <c r="P71" s="56"/>
      <c r="R71"/>
      <c r="X71"/>
      <c r="Y71"/>
    </row>
    <row r="72" spans="1:25" ht="18.75">
      <c r="A72" s="363"/>
      <c r="B72" s="23" t="s">
        <v>81</v>
      </c>
      <c r="C72" s="227"/>
      <c r="D72" s="227"/>
      <c r="E72" s="227"/>
      <c r="F72" s="227"/>
      <c r="G72" s="596">
        <v>15000</v>
      </c>
      <c r="H72" s="768">
        <v>0.62112402790624643</v>
      </c>
      <c r="I72" s="605">
        <f>G72*H72</f>
        <v>9316.8604185936965</v>
      </c>
      <c r="J72" s="227"/>
      <c r="K72" s="227"/>
      <c r="L72" s="227"/>
      <c r="M72" s="47"/>
      <c r="N72" s="387"/>
      <c r="P72" s="56"/>
      <c r="R72"/>
      <c r="X72"/>
      <c r="Y72"/>
    </row>
    <row r="73" spans="1:25" ht="18.75">
      <c r="A73" s="363"/>
      <c r="B73" s="23" t="s">
        <v>311</v>
      </c>
      <c r="C73" s="227"/>
      <c r="D73" s="255"/>
      <c r="E73" s="227"/>
      <c r="F73" s="255"/>
      <c r="G73" s="597">
        <v>20000</v>
      </c>
      <c r="H73" s="264"/>
      <c r="I73" s="266"/>
      <c r="J73" s="227" t="s">
        <v>82</v>
      </c>
      <c r="K73" s="227"/>
      <c r="L73" s="227"/>
      <c r="M73" s="47"/>
      <c r="N73" s="387"/>
      <c r="P73" s="56"/>
      <c r="R73"/>
      <c r="X73"/>
      <c r="Y73"/>
    </row>
    <row r="74" spans="1:25" ht="19.5" thickBot="1">
      <c r="A74" s="363"/>
      <c r="B74" s="23" t="s">
        <v>83</v>
      </c>
      <c r="C74" s="227"/>
      <c r="D74" s="255"/>
      <c r="E74" s="227"/>
      <c r="F74" s="255"/>
      <c r="G74" s="424">
        <f>G66-G73</f>
        <v>113764.14850126364</v>
      </c>
      <c r="H74" s="264"/>
      <c r="I74" s="266"/>
      <c r="J74" s="263" t="s">
        <v>258</v>
      </c>
      <c r="K74" s="227"/>
      <c r="L74" s="227"/>
      <c r="M74" s="47"/>
      <c r="N74" s="386"/>
      <c r="P74" s="56"/>
      <c r="R74"/>
      <c r="X74"/>
      <c r="Y74"/>
    </row>
    <row r="75" spans="1:25" ht="24" customHeight="1" thickBot="1">
      <c r="A75" s="363"/>
      <c r="B75" s="59" t="s">
        <v>84</v>
      </c>
      <c r="C75" s="42"/>
      <c r="D75" s="50"/>
      <c r="E75" s="42"/>
      <c r="F75" s="50"/>
      <c r="G75" s="960">
        <f>G68+G69+G70+G71+G72+G73+G74</f>
        <v>714264.1485012637</v>
      </c>
      <c r="H75" s="265"/>
      <c r="I75" s="604">
        <f>SUM(G68:G69,I70:I72,G73:G74)</f>
        <v>699613.33146714349</v>
      </c>
      <c r="J75" s="23"/>
      <c r="K75" s="227"/>
      <c r="L75" s="227"/>
      <c r="M75" s="47"/>
      <c r="N75" s="387"/>
      <c r="P75" s="56"/>
      <c r="R75"/>
      <c r="X75"/>
      <c r="Y75"/>
    </row>
    <row r="76" spans="1:25" ht="19.5" thickBot="1">
      <c r="A76" s="363"/>
      <c r="B76" s="381"/>
      <c r="C76" s="381"/>
      <c r="D76" s="381"/>
      <c r="E76" s="381"/>
      <c r="F76" s="381"/>
      <c r="G76" s="57"/>
      <c r="H76" s="587"/>
      <c r="I76" s="55"/>
      <c r="J76" s="48"/>
      <c r="K76" s="227"/>
      <c r="L76" s="227"/>
      <c r="M76" s="47"/>
      <c r="N76" s="230"/>
      <c r="R76"/>
      <c r="X76"/>
      <c r="Y76"/>
    </row>
    <row r="77" spans="1:25" ht="24.95" customHeight="1" thickBot="1">
      <c r="A77" s="334" t="s">
        <v>85</v>
      </c>
      <c r="B77" s="388"/>
      <c r="C77" s="388"/>
      <c r="D77" s="388"/>
      <c r="E77" s="227"/>
      <c r="F77" s="227"/>
      <c r="G77" s="551">
        <f>G63+G57</f>
        <v>2439514.6387718106</v>
      </c>
      <c r="H77" s="765">
        <f>IF(G77-(Performance!$K$48) &lt;0,0,G77-(Performance!$K$48))</f>
        <v>1762814.3775838395</v>
      </c>
      <c r="I77" s="766">
        <f>G77+(Performance!$K$48)</f>
        <v>3116214.8999597817</v>
      </c>
      <c r="J77" s="48" t="s">
        <v>86</v>
      </c>
      <c r="K77" s="227"/>
      <c r="L77" s="227"/>
      <c r="M77" s="47"/>
      <c r="N77" s="230"/>
      <c r="R77"/>
      <c r="X77"/>
      <c r="Y77"/>
    </row>
    <row r="78" spans="1:25" ht="18.75">
      <c r="A78" s="363"/>
      <c r="B78" s="787" t="s">
        <v>87</v>
      </c>
      <c r="C78" s="787"/>
      <c r="D78" s="787"/>
      <c r="E78" s="787"/>
      <c r="F78" s="381"/>
      <c r="G78" s="426">
        <f>G77-G79</f>
        <v>2236514.6387718106</v>
      </c>
      <c r="H78" s="765">
        <f>IF(G78-Performance!K48&lt;0,0,G78-Performance!K48)</f>
        <v>1559814.3775838395</v>
      </c>
      <c r="I78" s="766">
        <f>G78+Performance!K48</f>
        <v>2913214.8999597817</v>
      </c>
      <c r="J78" s="48" t="s">
        <v>88</v>
      </c>
      <c r="K78" s="227"/>
      <c r="L78" s="227"/>
      <c r="M78" s="47"/>
      <c r="N78" s="230"/>
      <c r="O78" s="769">
        <f>G77*G61</f>
        <v>1976738.801962201</v>
      </c>
      <c r="P78" s="61" t="s">
        <v>89</v>
      </c>
      <c r="R78"/>
      <c r="X78"/>
      <c r="Y78"/>
    </row>
    <row r="79" spans="1:25" ht="19.5" thickBot="1">
      <c r="A79" s="233"/>
      <c r="B79" s="389" t="s">
        <v>257</v>
      </c>
      <c r="C79" s="390"/>
      <c r="D79" s="389"/>
      <c r="E79" s="390"/>
      <c r="F79" s="390"/>
      <c r="G79" s="603">
        <f>SUM(G70:G72)</f>
        <v>203000</v>
      </c>
      <c r="H79" s="231"/>
      <c r="I79" s="391"/>
      <c r="J79" s="368" t="s">
        <v>539</v>
      </c>
      <c r="K79" s="231"/>
      <c r="L79" s="231"/>
      <c r="M79" s="392"/>
      <c r="N79" s="232"/>
      <c r="O79" s="769">
        <f>G77-O78</f>
        <v>462775.83680960955</v>
      </c>
      <c r="P79" s="62" t="s">
        <v>90</v>
      </c>
      <c r="R79"/>
      <c r="X79"/>
      <c r="Y79"/>
    </row>
    <row r="80" spans="1:25" ht="18.75">
      <c r="A80" s="227"/>
      <c r="B80" s="263"/>
      <c r="C80" s="381"/>
      <c r="D80" s="263"/>
      <c r="E80" s="381"/>
      <c r="F80" s="381"/>
      <c r="G80" s="573"/>
      <c r="H80" s="227"/>
      <c r="I80" s="227"/>
      <c r="J80" s="263"/>
      <c r="K80" s="227"/>
      <c r="L80" s="227"/>
      <c r="M80" s="227"/>
      <c r="N80" s="227"/>
      <c r="O80" s="611"/>
      <c r="P80" s="263"/>
      <c r="R80"/>
      <c r="X80"/>
      <c r="Y80"/>
    </row>
    <row r="81" spans="1:25" ht="18.75">
      <c r="A81" s="227"/>
      <c r="B81" s="263"/>
      <c r="C81" s="381"/>
      <c r="D81" s="263"/>
      <c r="E81" s="381"/>
      <c r="F81" s="381"/>
      <c r="G81" s="573"/>
      <c r="H81" s="227"/>
      <c r="I81" s="227"/>
      <c r="J81" s="379"/>
      <c r="L81" s="227"/>
      <c r="M81" s="227"/>
      <c r="N81" s="227"/>
      <c r="O81" s="611"/>
      <c r="P81" s="263"/>
      <c r="R81"/>
      <c r="X81"/>
      <c r="Y81"/>
    </row>
    <row r="82" spans="1:25" ht="15.75" thickBot="1">
      <c r="D82" s="613" t="str">
        <f ca="1">CELL("filename", A1)</f>
        <v>O:\DCF\SALMON\FORECAST\2015\[2015_Copper River Wild Sockeye forecast_FINAL.xlsm]Fcst Sumry</v>
      </c>
      <c r="E82" s="14"/>
      <c r="F82" s="14"/>
      <c r="K82" s="11"/>
      <c r="R82"/>
      <c r="X82"/>
      <c r="Y82"/>
    </row>
    <row r="83" spans="1:25" ht="23.25" thickBot="1">
      <c r="D83" s="63" t="s">
        <v>356</v>
      </c>
      <c r="E83" s="64"/>
      <c r="F83" s="64"/>
      <c r="G83" s="65"/>
      <c r="H83" s="807">
        <f>B3</f>
        <v>2015</v>
      </c>
      <c r="I83" s="65"/>
      <c r="J83" s="941" t="s">
        <v>530</v>
      </c>
      <c r="K83" s="943">
        <v>10000</v>
      </c>
      <c r="L83" s="942"/>
      <c r="M83" s="1160" t="s">
        <v>545</v>
      </c>
      <c r="N83" s="1161"/>
      <c r="R83"/>
      <c r="W83" s="11"/>
      <c r="X83" s="9"/>
      <c r="Y83"/>
    </row>
    <row r="84" spans="1:25" ht="19.899999999999999" customHeight="1" thickBot="1">
      <c r="D84" s="66" t="s">
        <v>91</v>
      </c>
      <c r="E84" s="67"/>
      <c r="F84" s="67"/>
      <c r="G84" s="908" t="s">
        <v>24</v>
      </c>
      <c r="H84" s="612" t="s">
        <v>357</v>
      </c>
      <c r="I84" s="612" t="s">
        <v>358</v>
      </c>
      <c r="J84" s="938" t="s">
        <v>24</v>
      </c>
      <c r="K84" s="939" t="s">
        <v>357</v>
      </c>
      <c r="L84" s="940" t="s">
        <v>358</v>
      </c>
      <c r="M84" s="969" t="s">
        <v>170</v>
      </c>
      <c r="N84" s="970" t="s">
        <v>171</v>
      </c>
      <c r="R84"/>
      <c r="W84" s="11"/>
      <c r="X84" s="9"/>
      <c r="Y84"/>
    </row>
    <row r="85" spans="1:25" ht="18.75">
      <c r="D85" s="17"/>
      <c r="E85" s="6" t="s">
        <v>92</v>
      </c>
      <c r="F85" s="6"/>
      <c r="G85" s="1108">
        <f>G51</f>
        <v>2746398.292268862</v>
      </c>
      <c r="H85" s="1108">
        <f>H51</f>
        <v>1961954.6001031823</v>
      </c>
      <c r="I85" s="1108">
        <f>I51</f>
        <v>3530841.9844345418</v>
      </c>
      <c r="J85" s="574">
        <f>MROUND(G85,$K$83)</f>
        <v>2750000</v>
      </c>
      <c r="K85" s="573">
        <f>MROUND(H85,$K$83)</f>
        <v>1960000</v>
      </c>
      <c r="L85" s="575">
        <f t="shared" ref="L85" si="1">MROUND(I85,$K$83)</f>
        <v>3530000</v>
      </c>
      <c r="M85" s="574">
        <f>MROUND(G85-(G85*ABS(Performance!$F$104/100)),10000)</f>
        <v>1780000</v>
      </c>
      <c r="N85" s="575">
        <f>MROUND(G85+(G85*Performance!$F$105/100),10000)</f>
        <v>3780000</v>
      </c>
      <c r="O85" s="573"/>
      <c r="R85"/>
      <c r="W85" s="11"/>
      <c r="X85" s="9"/>
      <c r="Y85"/>
    </row>
    <row r="86" spans="1:25" ht="18.75">
      <c r="D86" s="17"/>
      <c r="E86" s="6" t="s">
        <v>93</v>
      </c>
      <c r="F86" s="6"/>
      <c r="G86" s="572">
        <f>G55</f>
        <v>619000</v>
      </c>
      <c r="H86" s="572"/>
      <c r="I86" s="573"/>
      <c r="J86" s="574">
        <f t="shared" ref="J86:J87" si="2">MROUND(G86,$K$83)</f>
        <v>620000</v>
      </c>
      <c r="K86" s="573"/>
      <c r="L86" s="575"/>
      <c r="M86" s="971"/>
      <c r="N86" s="972"/>
      <c r="O86" s="573"/>
      <c r="R86"/>
      <c r="W86" s="11"/>
      <c r="X86" s="9"/>
      <c r="Y86"/>
    </row>
    <row r="87" spans="1:25" ht="18.75">
      <c r="D87" s="17"/>
      <c r="E87" s="6" t="s">
        <v>94</v>
      </c>
      <c r="F87" s="69"/>
      <c r="G87" s="572">
        <f t="shared" ref="G87:I88" si="3">G57</f>
        <v>2127398.292268862</v>
      </c>
      <c r="H87" s="572">
        <f t="shared" si="3"/>
        <v>1483713.2677792618</v>
      </c>
      <c r="I87" s="573">
        <f t="shared" si="3"/>
        <v>2771083.3167584622</v>
      </c>
      <c r="J87" s="574">
        <f t="shared" si="2"/>
        <v>2130000</v>
      </c>
      <c r="K87" s="573">
        <f t="shared" ref="K87:K100" si="4">MROUND(H87,$K$83)</f>
        <v>1480000</v>
      </c>
      <c r="L87" s="575">
        <f t="shared" ref="L87:L101" si="5">MROUND(I87,$K$83)</f>
        <v>2770000</v>
      </c>
      <c r="M87" s="574">
        <f>MROUND(G87-(G87*ABS(Performance!F148/100)),10000)</f>
        <v>1190000</v>
      </c>
      <c r="N87" s="575">
        <f>MROUND(G87+(G87*(Performance!$F$149/100)),10000)</f>
        <v>4850000</v>
      </c>
      <c r="O87" s="573"/>
      <c r="R87"/>
      <c r="W87" s="11"/>
      <c r="X87" s="9"/>
      <c r="Y87"/>
    </row>
    <row r="88" spans="1:25" ht="18.75">
      <c r="D88" s="17"/>
      <c r="E88" s="6" t="s">
        <v>312</v>
      </c>
      <c r="F88" s="6"/>
      <c r="G88" s="572">
        <f t="shared" si="3"/>
        <v>1983606.7516645307</v>
      </c>
      <c r="H88" s="572">
        <f t="shared" si="3"/>
        <v>1383428.6067619142</v>
      </c>
      <c r="I88" s="572">
        <f t="shared" si="3"/>
        <v>2583784.8965671472</v>
      </c>
      <c r="J88" s="574">
        <f t="shared" ref="J88:J101" si="6">MROUND(G88,$K$83)</f>
        <v>1980000</v>
      </c>
      <c r="K88" s="573">
        <f t="shared" si="4"/>
        <v>1380000</v>
      </c>
      <c r="L88" s="575">
        <f t="shared" si="5"/>
        <v>2580000</v>
      </c>
      <c r="M88" s="574">
        <f>MROUND(G88-(G88*ABS(Performance!F148/100)),10000)</f>
        <v>1110000</v>
      </c>
      <c r="N88" s="575">
        <f>MROUND(G88+(G88*(Performance!$F$149/100)),10000)</f>
        <v>4530000</v>
      </c>
      <c r="O88" s="573"/>
      <c r="R88"/>
      <c r="W88" s="11"/>
      <c r="X88" s="9"/>
      <c r="Y88"/>
    </row>
    <row r="89" spans="1:25" ht="18.75">
      <c r="D89" s="17" t="s">
        <v>95</v>
      </c>
      <c r="E89" s="6"/>
      <c r="F89" s="6"/>
      <c r="G89" s="572"/>
      <c r="H89" s="572"/>
      <c r="I89" s="573"/>
      <c r="J89" s="574"/>
      <c r="K89" s="573"/>
      <c r="L89" s="575"/>
      <c r="M89" s="971"/>
      <c r="N89" s="972"/>
      <c r="O89" s="573"/>
      <c r="R89"/>
      <c r="W89" s="11"/>
      <c r="X89" s="9"/>
      <c r="Y89"/>
    </row>
    <row r="90" spans="1:25" ht="18.75">
      <c r="D90" s="17"/>
      <c r="E90" s="6" t="s">
        <v>96</v>
      </c>
      <c r="F90" s="6"/>
      <c r="G90" s="1108">
        <f>G45</f>
        <v>445880.49500421208</v>
      </c>
      <c r="H90" s="1108">
        <f>H45</f>
        <v>318525.28117730073</v>
      </c>
      <c r="I90" s="1109">
        <f>I45</f>
        <v>573235.70883112343</v>
      </c>
      <c r="J90" s="574">
        <f t="shared" si="6"/>
        <v>450000</v>
      </c>
      <c r="K90" s="573">
        <f t="shared" si="4"/>
        <v>320000</v>
      </c>
      <c r="L90" s="575">
        <f t="shared" si="5"/>
        <v>570000</v>
      </c>
      <c r="M90" s="574">
        <f>MROUND(G90-(G90*ABS(Performance!$F$104/100)),10000)</f>
        <v>290000</v>
      </c>
      <c r="N90" s="575">
        <f>MROUND(G90+(G90*Performance!$F$105/100),10000)</f>
        <v>610000</v>
      </c>
      <c r="O90" s="573"/>
      <c r="R90"/>
      <c r="W90" s="11"/>
      <c r="X90" s="9"/>
      <c r="Y90"/>
    </row>
    <row r="91" spans="1:25" ht="18.75">
      <c r="D91" s="17"/>
      <c r="E91" s="6" t="s">
        <v>481</v>
      </c>
      <c r="F91" s="6"/>
      <c r="G91" s="572">
        <f>G73</f>
        <v>20000</v>
      </c>
      <c r="H91" s="572"/>
      <c r="I91" s="573"/>
      <c r="J91" s="574">
        <f t="shared" si="6"/>
        <v>20000</v>
      </c>
      <c r="K91" s="573"/>
      <c r="L91" s="575"/>
      <c r="M91" s="971"/>
      <c r="N91" s="972"/>
      <c r="O91" s="573"/>
      <c r="R91"/>
      <c r="W91" s="11"/>
      <c r="X91" s="9"/>
      <c r="Y91"/>
    </row>
    <row r="92" spans="1:25" ht="18.75">
      <c r="D92" s="17"/>
      <c r="E92" s="6" t="s">
        <v>482</v>
      </c>
      <c r="F92" s="6"/>
      <c r="G92" s="572">
        <f>G74</f>
        <v>113764.14850126364</v>
      </c>
      <c r="H92" s="572"/>
      <c r="I92" s="573"/>
      <c r="J92" s="574">
        <f t="shared" si="6"/>
        <v>110000</v>
      </c>
      <c r="K92" s="573"/>
      <c r="L92" s="575"/>
      <c r="M92" s="971"/>
      <c r="N92" s="972"/>
      <c r="O92" s="573"/>
      <c r="Q92" s="11"/>
      <c r="R92"/>
      <c r="W92" s="11"/>
      <c r="X92" s="9"/>
      <c r="Y92"/>
    </row>
    <row r="93" spans="1:25" ht="18.75">
      <c r="D93" s="17"/>
      <c r="E93" s="6" t="s">
        <v>94</v>
      </c>
      <c r="F93" s="69"/>
      <c r="G93" s="572">
        <f>G63</f>
        <v>312116.34650294844</v>
      </c>
      <c r="H93" s="572">
        <f t="shared" ref="G93:I94" si="7">H63</f>
        <v>217679.57889226708</v>
      </c>
      <c r="I93" s="573">
        <f t="shared" si="7"/>
        <v>406553.1141136298</v>
      </c>
      <c r="J93" s="574">
        <f t="shared" si="6"/>
        <v>310000</v>
      </c>
      <c r="K93" s="573">
        <f t="shared" si="4"/>
        <v>220000</v>
      </c>
      <c r="L93" s="575">
        <f t="shared" si="5"/>
        <v>410000</v>
      </c>
      <c r="M93" s="574">
        <f>MROUND(G93-(G93*ABS(Performance!F112/100)),10000)</f>
        <v>250000</v>
      </c>
      <c r="N93" s="575">
        <f>MROUND(G93+(G93*(Performance!$F$149/100)),10000)</f>
        <v>710000</v>
      </c>
      <c r="O93" s="573"/>
      <c r="Q93" s="11"/>
      <c r="R93"/>
      <c r="W93" s="11"/>
      <c r="X93" s="9"/>
      <c r="Y93"/>
    </row>
    <row r="94" spans="1:25" ht="18.75">
      <c r="D94" s="17"/>
      <c r="E94" s="5" t="s">
        <v>484</v>
      </c>
      <c r="F94" s="6"/>
      <c r="G94" s="572">
        <f t="shared" si="7"/>
        <v>252907.88710727979</v>
      </c>
      <c r="H94" s="572">
        <f t="shared" si="7"/>
        <v>176385.77082192528</v>
      </c>
      <c r="I94" s="573">
        <f t="shared" si="7"/>
        <v>329430.00339263433</v>
      </c>
      <c r="J94" s="574">
        <f t="shared" si="6"/>
        <v>250000</v>
      </c>
      <c r="K94" s="573">
        <f t="shared" si="4"/>
        <v>180000</v>
      </c>
      <c r="L94" s="575">
        <f t="shared" si="5"/>
        <v>330000</v>
      </c>
      <c r="M94" s="574">
        <f>MROUND(G94-(G94*ABS(Performance!F113/100)),10000)</f>
        <v>200000</v>
      </c>
      <c r="N94" s="575">
        <f>MROUND(G94+(G94*(Performance!$F$149/100)),10000)</f>
        <v>580000</v>
      </c>
      <c r="O94" s="573"/>
      <c r="Q94" s="11"/>
      <c r="R94"/>
      <c r="W94" s="11"/>
      <c r="X94" s="9"/>
      <c r="Y94"/>
    </row>
    <row r="95" spans="1:25" ht="18.75">
      <c r="D95" s="17" t="s">
        <v>97</v>
      </c>
      <c r="E95" s="6"/>
      <c r="F95" s="6"/>
      <c r="G95" s="572"/>
      <c r="H95" s="572"/>
      <c r="I95" s="573"/>
      <c r="J95" s="574"/>
      <c r="K95" s="573"/>
      <c r="L95" s="575"/>
      <c r="M95" s="971"/>
      <c r="N95" s="972"/>
      <c r="O95" s="573"/>
      <c r="Q95" s="11"/>
      <c r="R95"/>
      <c r="W95" s="11"/>
      <c r="X95" s="9"/>
      <c r="Y95"/>
    </row>
    <row r="96" spans="1:25" ht="18.75">
      <c r="D96" s="17"/>
      <c r="E96" s="6" t="s">
        <v>98</v>
      </c>
      <c r="F96" s="6"/>
      <c r="G96" s="1105">
        <f>G49</f>
        <v>3192278.787273074</v>
      </c>
      <c r="H96" s="1108">
        <f>H49</f>
        <v>2280479.8812804827</v>
      </c>
      <c r="I96" s="1109">
        <f>I49</f>
        <v>4104077.6932656653</v>
      </c>
      <c r="J96" s="574">
        <f t="shared" si="6"/>
        <v>3190000</v>
      </c>
      <c r="K96" s="573">
        <f t="shared" si="4"/>
        <v>2280000</v>
      </c>
      <c r="L96" s="575">
        <f t="shared" si="5"/>
        <v>4100000</v>
      </c>
      <c r="M96" s="574">
        <f>MROUND(G96-(G96*ABS(Performance!$F$104/100)),10000)</f>
        <v>2060000</v>
      </c>
      <c r="N96" s="575">
        <f>MROUND(G96+(G96*Performance!$F$105/100),10000)</f>
        <v>4400000</v>
      </c>
      <c r="O96" s="573"/>
      <c r="Q96" s="11"/>
      <c r="R96"/>
      <c r="W96" s="11"/>
      <c r="X96" s="9"/>
      <c r="Y96"/>
    </row>
    <row r="97" spans="4:25" ht="18.75">
      <c r="D97" s="17"/>
      <c r="E97" s="6" t="s">
        <v>99</v>
      </c>
      <c r="F97" s="6"/>
      <c r="G97" s="572">
        <f>G86</f>
        <v>619000</v>
      </c>
      <c r="H97" s="572"/>
      <c r="I97" s="573"/>
      <c r="J97" s="574">
        <f t="shared" si="6"/>
        <v>620000</v>
      </c>
      <c r="K97" s="573"/>
      <c r="L97" s="575"/>
      <c r="M97" s="971"/>
      <c r="N97" s="972"/>
      <c r="O97" s="573"/>
      <c r="Q97" s="11"/>
      <c r="R97"/>
      <c r="W97" s="11"/>
      <c r="X97" s="9"/>
      <c r="Y97"/>
    </row>
    <row r="98" spans="4:25" ht="18.75">
      <c r="D98" s="17"/>
      <c r="E98" s="6" t="s">
        <v>481</v>
      </c>
      <c r="F98" s="6"/>
      <c r="G98" s="572">
        <f>G91</f>
        <v>20000</v>
      </c>
      <c r="H98" s="572"/>
      <c r="I98" s="573"/>
      <c r="J98" s="574">
        <f t="shared" si="6"/>
        <v>20000</v>
      </c>
      <c r="K98" s="573"/>
      <c r="L98" s="575"/>
      <c r="M98" s="971"/>
      <c r="N98" s="972"/>
      <c r="O98" s="573"/>
      <c r="Q98" s="11"/>
      <c r="R98"/>
      <c r="W98" s="11"/>
      <c r="X98" s="9"/>
      <c r="Y98"/>
    </row>
    <row r="99" spans="4:25" ht="18.75">
      <c r="D99" s="17"/>
      <c r="E99" s="6" t="s">
        <v>482</v>
      </c>
      <c r="F99" s="6"/>
      <c r="G99" s="572">
        <f>G92</f>
        <v>113764.14850126364</v>
      </c>
      <c r="H99" s="572"/>
      <c r="I99" s="573"/>
      <c r="J99" s="574">
        <f t="shared" si="6"/>
        <v>110000</v>
      </c>
      <c r="K99" s="573"/>
      <c r="L99" s="575"/>
      <c r="M99" s="971"/>
      <c r="N99" s="972"/>
      <c r="O99" s="573"/>
      <c r="Q99" s="11"/>
      <c r="R99"/>
      <c r="W99" s="11"/>
      <c r="X99" s="9"/>
      <c r="Y99"/>
    </row>
    <row r="100" spans="4:25" ht="18.75">
      <c r="D100" s="17"/>
      <c r="E100" s="6" t="s">
        <v>483</v>
      </c>
      <c r="F100" s="6"/>
      <c r="G100" s="572">
        <f t="shared" ref="G100:I101" si="8">G77</f>
        <v>2439514.6387718106</v>
      </c>
      <c r="H100" s="572">
        <f t="shared" si="8"/>
        <v>1762814.3775838395</v>
      </c>
      <c r="I100" s="573">
        <f t="shared" si="8"/>
        <v>3116214.8999597817</v>
      </c>
      <c r="J100" s="574">
        <f t="shared" si="6"/>
        <v>2440000</v>
      </c>
      <c r="K100" s="573">
        <f t="shared" si="4"/>
        <v>1760000</v>
      </c>
      <c r="L100" s="575">
        <f t="shared" si="5"/>
        <v>3120000</v>
      </c>
      <c r="M100" s="574">
        <f>MROUND(G100-(G100*ABS(Performance!F119/100)),10000)</f>
        <v>1450000</v>
      </c>
      <c r="N100" s="575">
        <f>MROUND(G100+(G100*(Performance!$F$149/100)),10000)</f>
        <v>5570000</v>
      </c>
      <c r="O100" s="573"/>
      <c r="Q100" s="11"/>
      <c r="R100"/>
      <c r="W100" s="11"/>
      <c r="X100" s="9"/>
      <c r="Y100"/>
    </row>
    <row r="101" spans="4:25" ht="18.75">
      <c r="D101" s="17"/>
      <c r="E101" s="5" t="s">
        <v>484</v>
      </c>
      <c r="F101" s="69"/>
      <c r="G101" s="1110">
        <f>G78</f>
        <v>2236514.6387718106</v>
      </c>
      <c r="H101" s="1108">
        <f t="shared" si="8"/>
        <v>1559814.3775838395</v>
      </c>
      <c r="I101" s="1109">
        <f t="shared" si="8"/>
        <v>2913214.8999597817</v>
      </c>
      <c r="J101" s="574">
        <f t="shared" si="6"/>
        <v>2240000</v>
      </c>
      <c r="K101" s="573">
        <f>MROUND(H101,$K$83)</f>
        <v>1560000</v>
      </c>
      <c r="L101" s="575">
        <f t="shared" si="5"/>
        <v>2910000</v>
      </c>
      <c r="M101" s="574">
        <f>MROUND(G101-(G101*ABS(Performance!F120/100)),10000)</f>
        <v>1870000</v>
      </c>
      <c r="N101" s="575">
        <f>MROUND(G101+(G101*(Performance!$F$149/100)),10000)</f>
        <v>5100000</v>
      </c>
      <c r="O101" s="573"/>
      <c r="Q101" s="11"/>
      <c r="R101"/>
      <c r="W101" s="11"/>
      <c r="X101" s="9"/>
      <c r="Y101"/>
    </row>
    <row r="102" spans="4:25" ht="15.75" thickBot="1">
      <c r="D102" s="32"/>
      <c r="E102" s="33"/>
      <c r="F102" s="33"/>
      <c r="G102" s="33"/>
      <c r="H102" s="33"/>
      <c r="I102" s="33"/>
      <c r="J102" s="233"/>
      <c r="K102" s="231"/>
      <c r="L102" s="232"/>
      <c r="M102" s="233"/>
      <c r="N102" s="232"/>
      <c r="O102" s="227"/>
      <c r="Q102" s="11"/>
      <c r="R102"/>
      <c r="W102" s="11"/>
      <c r="X102" s="9"/>
      <c r="Y102"/>
    </row>
    <row r="103" spans="4:25">
      <c r="K103" s="11"/>
      <c r="O103" s="227"/>
    </row>
    <row r="104" spans="4:25" ht="18.75">
      <c r="G104" s="393"/>
      <c r="H104" s="68"/>
      <c r="J104" s="275"/>
      <c r="K104" s="11"/>
      <c r="O104" s="227"/>
    </row>
    <row r="105" spans="4:25">
      <c r="H105" s="275"/>
      <c r="I105" s="275"/>
      <c r="K105" s="11"/>
      <c r="O105" s="227"/>
    </row>
    <row r="106" spans="4:25">
      <c r="H106" s="275"/>
      <c r="J106" s="275"/>
      <c r="K106" s="11"/>
      <c r="O106" s="227"/>
    </row>
    <row r="107" spans="4:25">
      <c r="G107" s="393"/>
      <c r="J107" s="275"/>
      <c r="K107" s="11"/>
    </row>
    <row r="108" spans="4:25">
      <c r="G108" s="393"/>
      <c r="J108" s="275"/>
      <c r="K108" s="11"/>
    </row>
    <row r="109" spans="4:25">
      <c r="G109" s="393"/>
      <c r="K109" s="11"/>
    </row>
    <row r="110" spans="4:25">
      <c r="K110" s="11"/>
    </row>
    <row r="111" spans="4:25">
      <c r="F111" s="414"/>
      <c r="G111" s="393"/>
      <c r="K111" s="11"/>
    </row>
    <row r="112" spans="4:25">
      <c r="K112" s="11"/>
    </row>
    <row r="113" spans="11:11">
      <c r="K113" s="11"/>
    </row>
    <row r="114" spans="11:11">
      <c r="K114" s="11"/>
    </row>
    <row r="115" spans="11:11">
      <c r="K115" s="11"/>
    </row>
    <row r="116" spans="11:11">
      <c r="K116" s="11"/>
    </row>
    <row r="117" spans="11:11">
      <c r="K117" s="11"/>
    </row>
    <row r="118" spans="11:11">
      <c r="K118" s="11"/>
    </row>
    <row r="119" spans="11:11">
      <c r="K119" s="11"/>
    </row>
    <row r="120" spans="11:11">
      <c r="K120" s="11"/>
    </row>
    <row r="121" spans="11:11">
      <c r="K121" s="11"/>
    </row>
    <row r="122" spans="11:11">
      <c r="K122" s="11"/>
    </row>
    <row r="123" spans="11:11">
      <c r="K123" s="11"/>
    </row>
    <row r="124" spans="11:11">
      <c r="K124" s="11"/>
    </row>
    <row r="125" spans="11:11">
      <c r="K125" s="11"/>
    </row>
    <row r="126" spans="11:11">
      <c r="K126" s="11"/>
    </row>
    <row r="127" spans="11:11">
      <c r="K127" s="11"/>
    </row>
    <row r="128" spans="11:11">
      <c r="K128" s="11"/>
    </row>
    <row r="129" spans="11:11">
      <c r="K129" s="11"/>
    </row>
    <row r="130" spans="11:11">
      <c r="K130" s="11"/>
    </row>
    <row r="131" spans="11:11">
      <c r="K131" s="11"/>
    </row>
    <row r="132" spans="11:11">
      <c r="K132" s="11"/>
    </row>
    <row r="133" spans="11:11">
      <c r="K133" s="11"/>
    </row>
    <row r="134" spans="11:11">
      <c r="K134" s="11"/>
    </row>
    <row r="135" spans="11:11">
      <c r="K135" s="11"/>
    </row>
    <row r="136" spans="11:11">
      <c r="K136" s="11"/>
    </row>
    <row r="137" spans="11:11">
      <c r="K137" s="11"/>
    </row>
    <row r="138" spans="11:11">
      <c r="K138" s="11"/>
    </row>
    <row r="139" spans="11:11">
      <c r="K139" s="11"/>
    </row>
    <row r="140" spans="11:11">
      <c r="K140" s="11"/>
    </row>
    <row r="141" spans="11:11">
      <c r="K141" s="11"/>
    </row>
    <row r="142" spans="11:11">
      <c r="K142" s="11"/>
    </row>
    <row r="143" spans="11:11">
      <c r="K143" s="11"/>
    </row>
    <row r="144" spans="11:11">
      <c r="K144" s="11"/>
    </row>
    <row r="145" spans="11:11">
      <c r="K145" s="11"/>
    </row>
    <row r="146" spans="11:11">
      <c r="K146" s="11"/>
    </row>
    <row r="147" spans="11:11">
      <c r="K147" s="11"/>
    </row>
    <row r="148" spans="11:11">
      <c r="K148" s="11"/>
    </row>
    <row r="149" spans="11:11">
      <c r="K149" s="11"/>
    </row>
    <row r="150" spans="11:11">
      <c r="K150" s="11"/>
    </row>
    <row r="151" spans="11:11">
      <c r="K151" s="11"/>
    </row>
    <row r="152" spans="11:11">
      <c r="K152" s="11"/>
    </row>
    <row r="153" spans="11:11">
      <c r="K153" s="11"/>
    </row>
    <row r="154" spans="11:11">
      <c r="K154" s="11"/>
    </row>
    <row r="155" spans="11:11">
      <c r="K155" s="11"/>
    </row>
    <row r="156" spans="11:11">
      <c r="K156" s="11"/>
    </row>
    <row r="157" spans="11:11">
      <c r="K157" s="11"/>
    </row>
    <row r="158" spans="11:11">
      <c r="K158" s="11"/>
    </row>
    <row r="159" spans="11:11">
      <c r="K159" s="11"/>
    </row>
    <row r="160" spans="11:11">
      <c r="K160" s="11"/>
    </row>
    <row r="161" spans="11:11">
      <c r="K161" s="11"/>
    </row>
    <row r="162" spans="11:11">
      <c r="K162" s="11"/>
    </row>
    <row r="163" spans="11:11">
      <c r="K163" s="11"/>
    </row>
    <row r="164" spans="11:11">
      <c r="K164" s="11"/>
    </row>
    <row r="165" spans="11:11">
      <c r="K165" s="11"/>
    </row>
    <row r="166" spans="11:11">
      <c r="K166" s="11"/>
    </row>
    <row r="167" spans="11:11">
      <c r="K167" s="11"/>
    </row>
    <row r="168" spans="11:11">
      <c r="K168" s="11"/>
    </row>
    <row r="169" spans="11:11">
      <c r="K169" s="11"/>
    </row>
    <row r="170" spans="11:11">
      <c r="K170" s="11"/>
    </row>
    <row r="171" spans="11:11">
      <c r="K171" s="11"/>
    </row>
    <row r="172" spans="11:11">
      <c r="K172" s="11"/>
    </row>
    <row r="173" spans="11:11">
      <c r="K173" s="11"/>
    </row>
    <row r="174" spans="11:11">
      <c r="K174" s="11"/>
    </row>
    <row r="175" spans="11:11">
      <c r="K175" s="11"/>
    </row>
    <row r="176" spans="11:11">
      <c r="K176" s="11"/>
    </row>
    <row r="177" spans="11:11">
      <c r="K177" s="11"/>
    </row>
    <row r="178" spans="11:11">
      <c r="K178" s="11"/>
    </row>
    <row r="179" spans="11:11">
      <c r="K179" s="11"/>
    </row>
    <row r="180" spans="11:11">
      <c r="K180" s="11"/>
    </row>
    <row r="181" spans="11:11">
      <c r="K181" s="11"/>
    </row>
    <row r="182" spans="11:11">
      <c r="K182" s="11"/>
    </row>
    <row r="183" spans="11:11">
      <c r="K183" s="11"/>
    </row>
    <row r="184" spans="11:11">
      <c r="K184" s="11"/>
    </row>
    <row r="185" spans="11:11">
      <c r="K185" s="11"/>
    </row>
    <row r="186" spans="11:11">
      <c r="K186" s="11"/>
    </row>
    <row r="187" spans="11:11">
      <c r="K187" s="11"/>
    </row>
    <row r="188" spans="11:11">
      <c r="K188" s="11"/>
    </row>
    <row r="189" spans="11:11">
      <c r="K189" s="11"/>
    </row>
    <row r="190" spans="11:11">
      <c r="K190" s="11"/>
    </row>
    <row r="191" spans="11:11">
      <c r="K191" s="11"/>
    </row>
    <row r="192" spans="11:11">
      <c r="K192" s="11"/>
    </row>
    <row r="193" spans="11:11">
      <c r="K193" s="11"/>
    </row>
    <row r="194" spans="11:11">
      <c r="K194" s="11"/>
    </row>
    <row r="195" spans="11:11">
      <c r="K195" s="11"/>
    </row>
    <row r="196" spans="11:11">
      <c r="K196" s="11"/>
    </row>
    <row r="197" spans="11:11">
      <c r="K197" s="11"/>
    </row>
    <row r="198" spans="11:11">
      <c r="K198" s="11"/>
    </row>
    <row r="199" spans="11:11">
      <c r="K199" s="11"/>
    </row>
    <row r="200" spans="11:11">
      <c r="K200" s="11"/>
    </row>
    <row r="201" spans="11:11">
      <c r="K201" s="11"/>
    </row>
    <row r="202" spans="11:11">
      <c r="K202" s="11"/>
    </row>
    <row r="203" spans="11:11">
      <c r="K203" s="11"/>
    </row>
    <row r="204" spans="11:11">
      <c r="K204" s="11"/>
    </row>
    <row r="205" spans="11:11">
      <c r="K205" s="11"/>
    </row>
    <row r="206" spans="11:11">
      <c r="K206" s="11"/>
    </row>
    <row r="207" spans="11:11">
      <c r="K207" s="11"/>
    </row>
    <row r="208" spans="11:11">
      <c r="K208" s="11"/>
    </row>
    <row r="209" spans="11:11">
      <c r="K209" s="11"/>
    </row>
    <row r="210" spans="11:11">
      <c r="K210" s="11"/>
    </row>
    <row r="211" spans="11:11">
      <c r="K211" s="11"/>
    </row>
    <row r="212" spans="11:11">
      <c r="K212" s="11"/>
    </row>
    <row r="213" spans="11:11">
      <c r="K213" s="11"/>
    </row>
    <row r="214" spans="11:11">
      <c r="K214" s="11"/>
    </row>
    <row r="215" spans="11:11">
      <c r="K215" s="11"/>
    </row>
    <row r="216" spans="11:11">
      <c r="K216" s="11"/>
    </row>
    <row r="217" spans="11:11">
      <c r="K217" s="11"/>
    </row>
    <row r="218" spans="11:11">
      <c r="K218" s="11"/>
    </row>
    <row r="219" spans="11:11">
      <c r="K219" s="11"/>
    </row>
  </sheetData>
  <mergeCells count="2">
    <mergeCell ref="H68:I68"/>
    <mergeCell ref="M83:N83"/>
  </mergeCells>
  <phoneticPr fontId="60" type="noConversion"/>
  <pageMargins left="0.59" right="0.50800000000000001" top="0.5" bottom="0.5" header="0.5" footer="0.5"/>
  <pageSetup scale="59"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3">
    <pageSetUpPr fitToPage="1"/>
  </sheetPr>
  <dimension ref="A1:AA149"/>
  <sheetViews>
    <sheetView topLeftCell="A55" zoomScale="75" zoomScaleNormal="75" workbookViewId="0">
      <selection activeCell="A96" sqref="A96"/>
    </sheetView>
  </sheetViews>
  <sheetFormatPr defaultColWidth="9.6640625" defaultRowHeight="15"/>
  <cols>
    <col min="1" max="2" width="9.6640625" style="70"/>
    <col min="3" max="3" width="14" style="72" bestFit="1" customWidth="1"/>
    <col min="4" max="4" width="11.77734375" style="70" customWidth="1"/>
    <col min="5" max="5" width="16.33203125" style="70" customWidth="1"/>
    <col min="6" max="6" width="12.33203125" style="70" customWidth="1"/>
    <col min="7" max="7" width="11.21875" style="70" customWidth="1"/>
    <col min="8" max="8" width="12.77734375" style="70" customWidth="1"/>
    <col min="9" max="9" width="11.88671875" style="72" customWidth="1"/>
    <col min="10" max="10" width="12" customWidth="1"/>
    <col min="11" max="11" width="16.44140625" customWidth="1"/>
    <col min="12" max="14" width="13.33203125" customWidth="1"/>
    <col min="15" max="18" width="17.21875" style="786" customWidth="1"/>
    <col min="19" max="19" width="5.44140625" customWidth="1"/>
    <col min="24" max="24" width="12.33203125" bestFit="1" customWidth="1"/>
    <col min="25" max="25" width="10.6640625" bestFit="1" customWidth="1"/>
  </cols>
  <sheetData>
    <row r="1" spans="1:21" ht="18.75">
      <c r="A1" s="71" t="s">
        <v>100</v>
      </c>
      <c r="B1" s="527" t="str">
        <f ca="1">CELL("filename",H5)</f>
        <v>O:\DCF\SALMON\FORECAST\2015\[2015_Copper River Wild Sockeye forecast_FINAL.xlsm]Performance</v>
      </c>
      <c r="J1" s="70"/>
      <c r="K1" s="70"/>
      <c r="L1" s="70"/>
      <c r="M1" s="70"/>
      <c r="N1" s="70"/>
      <c r="O1" s="777"/>
      <c r="P1" s="777"/>
      <c r="Q1" s="777"/>
      <c r="R1" s="777"/>
      <c r="S1" s="70"/>
    </row>
    <row r="2" spans="1:21">
      <c r="J2" s="92" t="s">
        <v>103</v>
      </c>
      <c r="K2" s="528">
        <f>COUNTA(G9:G40)-1</f>
        <v>31</v>
      </c>
      <c r="L2" s="72"/>
      <c r="M2" s="72"/>
      <c r="N2" s="546"/>
      <c r="O2" s="968"/>
      <c r="P2" s="778"/>
      <c r="Q2" s="778"/>
      <c r="R2" s="778"/>
      <c r="S2" s="70"/>
      <c r="T2" s="73" t="s">
        <v>101</v>
      </c>
      <c r="U2" s="74" t="s">
        <v>102</v>
      </c>
    </row>
    <row r="3" spans="1:21" ht="20.25">
      <c r="A3" s="410" t="s">
        <v>473</v>
      </c>
      <c r="J3" s="108" t="s">
        <v>105</v>
      </c>
      <c r="K3" s="529">
        <f>VLOOKUP(K2,T4:U44,2)</f>
        <v>1.31</v>
      </c>
      <c r="L3" s="72"/>
      <c r="M3" s="72"/>
      <c r="N3" s="968"/>
      <c r="O3" s="968"/>
      <c r="P3" s="778"/>
      <c r="Q3" s="778"/>
      <c r="R3" s="778"/>
      <c r="S3" s="70"/>
      <c r="T3" s="76" t="s">
        <v>104</v>
      </c>
      <c r="U3" s="77">
        <v>0.2</v>
      </c>
    </row>
    <row r="4" spans="1:21">
      <c r="J4" s="70"/>
      <c r="K4" s="70"/>
      <c r="L4" s="70"/>
      <c r="M4" s="777"/>
      <c r="N4" s="689"/>
      <c r="O4" s="689"/>
      <c r="P4" s="777"/>
      <c r="Q4" s="777"/>
      <c r="R4" s="777"/>
      <c r="S4" s="70"/>
      <c r="T4" s="79">
        <v>1</v>
      </c>
      <c r="U4" s="80">
        <v>3.0779999999999998</v>
      </c>
    </row>
    <row r="5" spans="1:21" ht="15.75">
      <c r="A5" s="83"/>
      <c r="B5" s="83"/>
      <c r="C5" s="543" t="s">
        <v>68</v>
      </c>
      <c r="D5" s="544"/>
      <c r="E5" s="544"/>
      <c r="F5" s="544"/>
      <c r="G5" s="544"/>
      <c r="H5" s="545"/>
      <c r="I5" s="1162" t="s">
        <v>106</v>
      </c>
      <c r="J5" s="1163"/>
      <c r="K5" s="1163"/>
      <c r="L5" s="1164"/>
      <c r="M5" s="1124"/>
      <c r="N5" s="779"/>
      <c r="O5" s="779"/>
      <c r="P5" s="779"/>
      <c r="Q5" s="779"/>
      <c r="R5" s="779"/>
      <c r="S5" s="70"/>
      <c r="T5" s="81">
        <v>2</v>
      </c>
      <c r="U5" s="82">
        <v>1.8859999999999999</v>
      </c>
    </row>
    <row r="6" spans="1:21">
      <c r="A6" s="84"/>
      <c r="B6" s="84"/>
      <c r="C6" s="85"/>
      <c r="D6" s="86"/>
      <c r="E6" s="87" t="s">
        <v>107</v>
      </c>
      <c r="F6" s="88"/>
      <c r="G6" s="89" t="s">
        <v>108</v>
      </c>
      <c r="H6" s="89" t="s">
        <v>109</v>
      </c>
      <c r="I6" s="85"/>
      <c r="J6" s="89"/>
      <c r="K6" s="89" t="s">
        <v>108</v>
      </c>
      <c r="L6" s="89" t="s">
        <v>109</v>
      </c>
      <c r="M6" s="81"/>
      <c r="N6" s="1165"/>
      <c r="O6" s="1165"/>
      <c r="P6" s="780"/>
      <c r="Q6" s="780"/>
      <c r="R6" s="780"/>
      <c r="S6" s="90"/>
      <c r="T6" s="81">
        <v>3</v>
      </c>
      <c r="U6" s="82">
        <v>1.6379999999999999</v>
      </c>
    </row>
    <row r="7" spans="1:21">
      <c r="A7" s="86" t="s">
        <v>110</v>
      </c>
      <c r="B7" s="86" t="s">
        <v>27</v>
      </c>
      <c r="C7" s="86" t="s">
        <v>111</v>
      </c>
      <c r="D7" s="86" t="s">
        <v>112</v>
      </c>
      <c r="E7" s="91" t="s">
        <v>113</v>
      </c>
      <c r="F7" s="91" t="s">
        <v>114</v>
      </c>
      <c r="G7" s="86" t="s">
        <v>115</v>
      </c>
      <c r="H7" s="86" t="s">
        <v>115</v>
      </c>
      <c r="I7" s="86" t="s">
        <v>111</v>
      </c>
      <c r="J7" s="86" t="s">
        <v>112</v>
      </c>
      <c r="K7" s="86" t="s">
        <v>115</v>
      </c>
      <c r="L7" s="86" t="s">
        <v>115</v>
      </c>
      <c r="M7" s="81"/>
      <c r="N7" s="780"/>
      <c r="O7" s="780"/>
      <c r="P7" s="780"/>
      <c r="Q7" s="780"/>
      <c r="R7" s="780"/>
      <c r="S7" s="90"/>
      <c r="T7" s="81">
        <v>4</v>
      </c>
      <c r="U7" s="82">
        <v>1.5329999999999999</v>
      </c>
    </row>
    <row r="8" spans="1:21">
      <c r="A8" s="83"/>
      <c r="B8" s="89"/>
      <c r="C8" s="429"/>
      <c r="D8" s="430"/>
      <c r="E8" s="430"/>
      <c r="F8" s="431"/>
      <c r="G8" s="430"/>
      <c r="H8" s="95"/>
      <c r="I8" s="92"/>
      <c r="J8" s="93"/>
      <c r="K8" s="94"/>
      <c r="L8" s="96"/>
      <c r="M8" s="682"/>
      <c r="N8" s="780"/>
      <c r="O8" s="780"/>
      <c r="P8" s="780"/>
      <c r="Q8" s="780"/>
      <c r="R8" s="780"/>
      <c r="S8" s="70"/>
      <c r="T8" s="81">
        <v>5</v>
      </c>
      <c r="U8" s="82">
        <v>1.476</v>
      </c>
    </row>
    <row r="9" spans="1:21" ht="15.75">
      <c r="A9" s="420" t="s">
        <v>116</v>
      </c>
      <c r="B9" s="84">
        <v>1983</v>
      </c>
      <c r="C9" s="949">
        <v>971000</v>
      </c>
      <c r="D9" s="530">
        <f>'Rank data'!F111</f>
        <v>1442855.8681101864</v>
      </c>
      <c r="E9" s="430"/>
      <c r="F9" s="532">
        <f>C9-D9</f>
        <v>-471855.86811018642</v>
      </c>
      <c r="G9" s="540">
        <f>(D9-C9)^2</f>
        <v>222647960270.01764</v>
      </c>
      <c r="H9" s="531">
        <f>(D9-C9)/D9</f>
        <v>0.32702910840859695</v>
      </c>
      <c r="I9" s="1125">
        <v>672000</v>
      </c>
      <c r="J9" s="530">
        <f>'Rank data'!N111</f>
        <v>626735</v>
      </c>
      <c r="K9" s="540">
        <f t="shared" ref="K9:K23" si="0">(J9-I9)^2</f>
        <v>2048920225</v>
      </c>
      <c r="L9" s="531">
        <f t="shared" ref="L9:L23" si="1">(J9-I9)/J9</f>
        <v>-7.2223507543060464E-2</v>
      </c>
      <c r="M9" s="776"/>
      <c r="N9" s="1134"/>
      <c r="O9" s="1134"/>
      <c r="P9" s="781"/>
      <c r="Q9" s="781"/>
      <c r="R9" s="781"/>
      <c r="S9" s="70"/>
      <c r="T9" s="81">
        <v>6</v>
      </c>
      <c r="U9" s="82">
        <v>1.44</v>
      </c>
    </row>
    <row r="10" spans="1:21">
      <c r="A10" s="98"/>
      <c r="B10" s="84">
        <v>1984</v>
      </c>
      <c r="C10" s="949">
        <v>1121000</v>
      </c>
      <c r="D10" s="530">
        <f>'Rank data'!F112</f>
        <v>1831932.7361524117</v>
      </c>
      <c r="E10" s="430"/>
      <c r="F10" s="532">
        <f>C10-D10</f>
        <v>-710932.73615241167</v>
      </c>
      <c r="G10" s="540">
        <f>(D10-C10)^2</f>
        <v>505425355333.1546</v>
      </c>
      <c r="H10" s="531">
        <f t="shared" ref="H10:H24" si="2">(D10-C10)/D10</f>
        <v>0.38807796930665472</v>
      </c>
      <c r="I10" s="1125">
        <v>701000</v>
      </c>
      <c r="J10" s="530">
        <f>'Rank data'!N112</f>
        <v>900043</v>
      </c>
      <c r="K10" s="540">
        <f t="shared" si="0"/>
        <v>39618115849</v>
      </c>
      <c r="L10" s="531">
        <f t="shared" si="1"/>
        <v>0.22114832291346079</v>
      </c>
      <c r="M10" s="776"/>
      <c r="N10" s="1134"/>
      <c r="O10" s="1134"/>
      <c r="P10" s="781"/>
      <c r="Q10" s="781"/>
      <c r="R10" s="781"/>
      <c r="S10" s="70"/>
      <c r="T10" s="81">
        <v>7</v>
      </c>
      <c r="U10" s="82">
        <v>1.415</v>
      </c>
    </row>
    <row r="11" spans="1:21">
      <c r="A11" s="98"/>
      <c r="B11" s="84">
        <v>1985</v>
      </c>
      <c r="C11" s="949">
        <v>1775000</v>
      </c>
      <c r="D11" s="530">
        <f>'Rank data'!F113</f>
        <v>1659078.2163551403</v>
      </c>
      <c r="E11" s="530">
        <f>C11-D11</f>
        <v>115921.78364485968</v>
      </c>
      <c r="F11" s="431"/>
      <c r="G11" s="540">
        <f t="shared" ref="G11:G24" si="3">(D11-C11)^2</f>
        <v>13437859923.405657</v>
      </c>
      <c r="H11" s="531">
        <f t="shared" si="2"/>
        <v>-6.9871198658451678E-2</v>
      </c>
      <c r="I11" s="1125">
        <v>1200000</v>
      </c>
      <c r="J11" s="530">
        <f>'Rank data'!N113</f>
        <v>927763</v>
      </c>
      <c r="K11" s="540">
        <f t="shared" si="0"/>
        <v>74112984169</v>
      </c>
      <c r="L11" s="531">
        <f t="shared" si="1"/>
        <v>-0.29343377565175588</v>
      </c>
      <c r="M11" s="776"/>
      <c r="N11" s="1134"/>
      <c r="O11" s="1134"/>
      <c r="P11" s="781"/>
      <c r="Q11" s="781"/>
      <c r="R11" s="781"/>
      <c r="S11" s="70"/>
      <c r="T11" s="81">
        <v>8</v>
      </c>
      <c r="U11" s="82">
        <v>1.397</v>
      </c>
    </row>
    <row r="12" spans="1:21">
      <c r="A12" s="98"/>
      <c r="B12" s="84">
        <v>1986</v>
      </c>
      <c r="C12" s="949">
        <v>1558000</v>
      </c>
      <c r="D12" s="530">
        <f>'Rank data'!F114</f>
        <v>1386606.0055745668</v>
      </c>
      <c r="E12" s="530">
        <f>C12-D12</f>
        <v>171393.99442543322</v>
      </c>
      <c r="F12" s="431"/>
      <c r="G12" s="540">
        <f t="shared" si="3"/>
        <v>29375901325.105434</v>
      </c>
      <c r="H12" s="531">
        <f t="shared" si="2"/>
        <v>-0.12360684559015221</v>
      </c>
      <c r="I12" s="1125">
        <v>854000</v>
      </c>
      <c r="J12" s="530">
        <f>'Rank data'!N114</f>
        <v>780470</v>
      </c>
      <c r="K12" s="540">
        <f t="shared" si="0"/>
        <v>5406660900</v>
      </c>
      <c r="L12" s="531">
        <f t="shared" si="1"/>
        <v>-9.4212461721783033E-2</v>
      </c>
      <c r="M12" s="776"/>
      <c r="N12" s="1134"/>
      <c r="O12" s="1134"/>
      <c r="P12" s="781"/>
      <c r="Q12" s="781"/>
      <c r="R12" s="781"/>
      <c r="S12" s="70"/>
      <c r="T12" s="81">
        <v>9</v>
      </c>
      <c r="U12" s="82">
        <v>1.383</v>
      </c>
    </row>
    <row r="13" spans="1:21">
      <c r="A13" s="98"/>
      <c r="B13" s="84">
        <v>1987</v>
      </c>
      <c r="C13" s="949">
        <v>1658000</v>
      </c>
      <c r="D13" s="530">
        <f>'Rank data'!F115</f>
        <v>1796881.9938925835</v>
      </c>
      <c r="E13" s="430"/>
      <c r="F13" s="532">
        <f>C13-D13</f>
        <v>-138881.99389258353</v>
      </c>
      <c r="G13" s="540">
        <f t="shared" si="3"/>
        <v>19288208227.579609</v>
      </c>
      <c r="H13" s="531">
        <f t="shared" si="2"/>
        <v>7.7290547940615517E-2</v>
      </c>
      <c r="I13" s="1125">
        <v>937000</v>
      </c>
      <c r="J13" s="530">
        <f>'Rank data'!N115</f>
        <v>1180828</v>
      </c>
      <c r="K13" s="540">
        <f t="shared" si="0"/>
        <v>59452093584</v>
      </c>
      <c r="L13" s="531">
        <f t="shared" si="1"/>
        <v>0.20648900601950496</v>
      </c>
      <c r="M13" s="776"/>
      <c r="N13" s="1134"/>
      <c r="O13" s="1134"/>
      <c r="P13" s="781"/>
      <c r="Q13" s="781"/>
      <c r="R13" s="781"/>
      <c r="S13" s="70"/>
      <c r="T13" s="81">
        <v>10</v>
      </c>
      <c r="U13" s="82">
        <v>1.3720000000000001</v>
      </c>
    </row>
    <row r="14" spans="1:21">
      <c r="A14" s="98"/>
      <c r="B14" s="84">
        <v>1988</v>
      </c>
      <c r="C14" s="949">
        <v>1379000</v>
      </c>
      <c r="D14" s="530">
        <f>'Rank data'!F116</f>
        <v>1177899.9759558276</v>
      </c>
      <c r="E14" s="530">
        <f>C14-D14</f>
        <v>201100.02404417237</v>
      </c>
      <c r="F14" s="431"/>
      <c r="G14" s="540">
        <f t="shared" si="3"/>
        <v>40441219670.566704</v>
      </c>
      <c r="H14" s="531">
        <f t="shared" si="2"/>
        <v>-0.17072758990506492</v>
      </c>
      <c r="I14" s="1125">
        <v>701000</v>
      </c>
      <c r="J14" s="530">
        <f>'Rank data'!N116</f>
        <v>577206</v>
      </c>
      <c r="K14" s="540">
        <f t="shared" si="0"/>
        <v>15324954436</v>
      </c>
      <c r="L14" s="531">
        <f t="shared" si="1"/>
        <v>-0.21447109004410903</v>
      </c>
      <c r="M14" s="776"/>
      <c r="N14" s="1134"/>
      <c r="O14" s="1134"/>
      <c r="P14" s="781"/>
      <c r="Q14" s="781"/>
      <c r="R14" s="781"/>
      <c r="S14" s="70"/>
      <c r="T14" s="81">
        <v>11</v>
      </c>
      <c r="U14" s="82">
        <v>1.363</v>
      </c>
    </row>
    <row r="15" spans="1:21">
      <c r="A15" s="98"/>
      <c r="B15" s="84">
        <v>1989</v>
      </c>
      <c r="C15" s="949">
        <v>1734000</v>
      </c>
      <c r="D15" s="530">
        <f>'Rank data'!F117</f>
        <v>1745463.378424929</v>
      </c>
      <c r="E15" s="530">
        <f>C15-D15</f>
        <v>-11463.378424928989</v>
      </c>
      <c r="F15" s="431"/>
      <c r="G15" s="540">
        <f t="shared" si="3"/>
        <v>131409044.91312744</v>
      </c>
      <c r="H15" s="531">
        <f t="shared" si="2"/>
        <v>6.5675273206094479E-3</v>
      </c>
      <c r="I15" s="1125">
        <v>972000</v>
      </c>
      <c r="J15" s="530">
        <f>'Rank data'!N117</f>
        <v>1026073</v>
      </c>
      <c r="K15" s="540">
        <f t="shared" si="0"/>
        <v>2923889329</v>
      </c>
      <c r="L15" s="531">
        <f t="shared" si="1"/>
        <v>5.269897950730601E-2</v>
      </c>
      <c r="M15" s="776"/>
      <c r="N15" s="1134"/>
      <c r="O15" s="1134"/>
      <c r="P15" s="781"/>
      <c r="Q15" s="781"/>
      <c r="R15" s="781"/>
      <c r="S15" s="70"/>
      <c r="T15" s="81">
        <v>12</v>
      </c>
      <c r="U15" s="82">
        <v>1.3560000000000001</v>
      </c>
    </row>
    <row r="16" spans="1:21">
      <c r="A16" s="98"/>
      <c r="B16" s="84">
        <v>1990</v>
      </c>
      <c r="C16" s="949">
        <v>1373000</v>
      </c>
      <c r="D16" s="530">
        <f>'Rank data'!F118</f>
        <v>1586321.0198381976</v>
      </c>
      <c r="E16" s="430"/>
      <c r="F16" s="532">
        <f>C16-D16</f>
        <v>-213321.01983819762</v>
      </c>
      <c r="G16" s="540">
        <f t="shared" si="3"/>
        <v>45505857504.808701</v>
      </c>
      <c r="H16" s="531">
        <f t="shared" si="2"/>
        <v>0.13447531563312201</v>
      </c>
      <c r="I16" s="1125">
        <v>658000</v>
      </c>
      <c r="J16" s="530">
        <f>'Rank data'!N118</f>
        <v>845486</v>
      </c>
      <c r="K16" s="540">
        <f t="shared" si="0"/>
        <v>35151000196</v>
      </c>
      <c r="L16" s="531">
        <f t="shared" si="1"/>
        <v>0.2217493843777425</v>
      </c>
      <c r="M16" s="776"/>
      <c r="N16" s="1134"/>
      <c r="O16" s="1134"/>
      <c r="P16" s="781"/>
      <c r="Q16" s="781"/>
      <c r="R16" s="781"/>
      <c r="S16" s="70"/>
      <c r="T16" s="81">
        <v>13</v>
      </c>
      <c r="U16" s="82">
        <v>1.35</v>
      </c>
    </row>
    <row r="17" spans="1:27">
      <c r="A17" s="98"/>
      <c r="B17" s="84">
        <v>1991</v>
      </c>
      <c r="C17" s="949">
        <v>1583000</v>
      </c>
      <c r="D17" s="530">
        <f>'Rank data'!F119</f>
        <v>1940166.2455192734</v>
      </c>
      <c r="E17" s="430"/>
      <c r="F17" s="532">
        <f>C17-D17</f>
        <v>-357166.24551927345</v>
      </c>
      <c r="G17" s="540">
        <f t="shared" si="3"/>
        <v>127567726938.33392</v>
      </c>
      <c r="H17" s="531">
        <f t="shared" si="2"/>
        <v>0.18409053674865894</v>
      </c>
      <c r="I17" s="1125">
        <v>869000</v>
      </c>
      <c r="J17" s="530">
        <f>'Rank data'!N119</f>
        <v>1207044</v>
      </c>
      <c r="K17" s="540">
        <f t="shared" si="0"/>
        <v>114273745936</v>
      </c>
      <c r="L17" s="531">
        <f t="shared" si="1"/>
        <v>0.2800593847448809</v>
      </c>
      <c r="M17" s="776"/>
      <c r="N17" s="1134"/>
      <c r="O17" s="1134"/>
      <c r="P17" s="781"/>
      <c r="Q17" s="781"/>
      <c r="R17" s="781"/>
      <c r="S17" s="70"/>
      <c r="T17" s="81">
        <v>14</v>
      </c>
      <c r="U17" s="82">
        <v>1.345</v>
      </c>
    </row>
    <row r="18" spans="1:27">
      <c r="A18" s="98"/>
      <c r="B18" s="84">
        <v>1992</v>
      </c>
      <c r="C18" s="949">
        <v>1754000</v>
      </c>
      <c r="D18" s="530">
        <f>'Rank data'!F120</f>
        <v>1700543.7818730769</v>
      </c>
      <c r="E18" s="530">
        <f>C18-D18</f>
        <v>53456.218126923079</v>
      </c>
      <c r="F18" s="431"/>
      <c r="G18" s="540">
        <f t="shared" si="3"/>
        <v>2857567256.4331794</v>
      </c>
      <c r="H18" s="531">
        <f t="shared" si="2"/>
        <v>-3.1434779096391932E-2</v>
      </c>
      <c r="I18" s="1125">
        <v>960000</v>
      </c>
      <c r="J18" s="530">
        <f>'Rank data'!N120</f>
        <v>970959</v>
      </c>
      <c r="K18" s="540">
        <f t="shared" si="0"/>
        <v>120099681</v>
      </c>
      <c r="L18" s="531">
        <f t="shared" si="1"/>
        <v>1.1286779359375627E-2</v>
      </c>
      <c r="M18" s="776"/>
      <c r="N18" s="1134"/>
      <c r="O18" s="1134"/>
      <c r="P18" s="781"/>
      <c r="Q18" s="781"/>
      <c r="R18" s="781"/>
      <c r="S18" s="70"/>
      <c r="T18" s="81">
        <v>15</v>
      </c>
      <c r="U18" s="82">
        <v>1.341</v>
      </c>
    </row>
    <row r="19" spans="1:27">
      <c r="A19" s="98"/>
      <c r="B19" s="84">
        <v>1993</v>
      </c>
      <c r="C19" s="949">
        <v>1624500</v>
      </c>
      <c r="D19" s="530">
        <f>'Rank data'!F121</f>
        <v>2302219.1080709202</v>
      </c>
      <c r="E19" s="430"/>
      <c r="F19" s="532">
        <f>C19-D19</f>
        <v>-677719.10807092022</v>
      </c>
      <c r="G19" s="540">
        <f t="shared" si="3"/>
        <v>459303189444.44366</v>
      </c>
      <c r="H19" s="531">
        <f t="shared" si="2"/>
        <v>0.29437645865027845</v>
      </c>
      <c r="I19" s="1125">
        <v>920000</v>
      </c>
      <c r="J19" s="530">
        <f>'Rank data'!N121</f>
        <v>1398416</v>
      </c>
      <c r="K19" s="540">
        <f t="shared" si="0"/>
        <v>228881869056</v>
      </c>
      <c r="L19" s="531">
        <f t="shared" si="1"/>
        <v>0.34211279047150489</v>
      </c>
      <c r="M19" s="776"/>
      <c r="N19" s="1134"/>
      <c r="O19" s="1134"/>
      <c r="P19" s="781"/>
      <c r="Q19" s="781"/>
      <c r="R19" s="781"/>
      <c r="S19" s="70"/>
      <c r="T19" s="81">
        <v>16</v>
      </c>
      <c r="U19" s="82">
        <v>1.337</v>
      </c>
    </row>
    <row r="20" spans="1:27">
      <c r="A20" s="98"/>
      <c r="B20" s="84">
        <v>1994</v>
      </c>
      <c r="C20" s="1005">
        <f>576000+94100+679000</f>
        <v>1349100</v>
      </c>
      <c r="D20" s="530">
        <f>'Rank data'!F122</f>
        <v>2015036.2833961954</v>
      </c>
      <c r="E20" s="430"/>
      <c r="F20" s="532">
        <f>C20-D20</f>
        <v>-665936.28339619539</v>
      </c>
      <c r="G20" s="540">
        <f t="shared" si="3"/>
        <v>443471133543.53784</v>
      </c>
      <c r="H20" s="531">
        <f t="shared" si="2"/>
        <v>0.33048351976759882</v>
      </c>
      <c r="I20" s="1125">
        <v>685000</v>
      </c>
      <c r="J20" s="530">
        <f>'Rank data'!N122</f>
        <v>1154116</v>
      </c>
      <c r="K20" s="540">
        <f t="shared" si="0"/>
        <v>220069821456</v>
      </c>
      <c r="L20" s="531">
        <f t="shared" si="1"/>
        <v>0.40647213971559187</v>
      </c>
      <c r="M20" s="776"/>
      <c r="N20" s="1134"/>
      <c r="O20" s="1134"/>
      <c r="P20" s="781"/>
      <c r="Q20" s="781"/>
      <c r="R20" s="781"/>
      <c r="S20" s="70"/>
      <c r="T20" s="81">
        <v>17</v>
      </c>
      <c r="U20" s="82">
        <v>1.333</v>
      </c>
    </row>
    <row r="21" spans="1:27">
      <c r="A21" s="98"/>
      <c r="B21" s="84">
        <v>1995</v>
      </c>
      <c r="C21" s="949">
        <v>1650100</v>
      </c>
      <c r="D21" s="530">
        <f>'Rank data'!F123</f>
        <v>2007566.4214672782</v>
      </c>
      <c r="E21" s="430"/>
      <c r="F21" s="532">
        <f>C21-D21</f>
        <v>-357466.42146727815</v>
      </c>
      <c r="G21" s="540">
        <f t="shared" si="3"/>
        <v>127782242476.62173</v>
      </c>
      <c r="H21" s="531">
        <f t="shared" si="2"/>
        <v>0.17805957384265036</v>
      </c>
      <c r="I21" s="1125">
        <v>1061000</v>
      </c>
      <c r="J21" s="530">
        <f>'Rank data'!N123</f>
        <v>1271822</v>
      </c>
      <c r="K21" s="540">
        <f t="shared" si="0"/>
        <v>44445915684</v>
      </c>
      <c r="L21" s="531">
        <f t="shared" si="1"/>
        <v>0.16576376253909744</v>
      </c>
      <c r="M21" s="776"/>
      <c r="N21" s="1134"/>
      <c r="O21" s="1134"/>
      <c r="P21" s="781"/>
      <c r="Q21" s="781"/>
      <c r="R21" s="781"/>
      <c r="S21" s="70"/>
      <c r="T21" s="81">
        <v>18</v>
      </c>
      <c r="U21" s="82">
        <v>1.33</v>
      </c>
      <c r="W21" s="274" t="s">
        <v>294</v>
      </c>
      <c r="X21" s="523">
        <f>-AVERAGE(E9:F18)</f>
        <v>136174.92216961933</v>
      </c>
      <c r="Y21" s="534">
        <f>AVERAGE(D9:D18)</f>
        <v>1626774.9221696192</v>
      </c>
      <c r="Z21" s="440">
        <f>X21/Y21</f>
        <v>8.3708520652631957E-2</v>
      </c>
      <c r="AA21" s="535">
        <f>AVERAGE(H9:H18)</f>
        <v>7.2189059210819681E-2</v>
      </c>
    </row>
    <row r="22" spans="1:27">
      <c r="A22" s="98"/>
      <c r="B22" s="100">
        <v>1996</v>
      </c>
      <c r="C22" s="949">
        <v>2050000</v>
      </c>
      <c r="D22" s="530">
        <f>'Rank data'!F124</f>
        <v>3341517.3295118865</v>
      </c>
      <c r="E22" s="430"/>
      <c r="F22" s="532">
        <f>C22-D22</f>
        <v>-1291517.3295118865</v>
      </c>
      <c r="G22" s="540">
        <f t="shared" si="3"/>
        <v>1668017012429.5146</v>
      </c>
      <c r="H22" s="531">
        <f t="shared" si="2"/>
        <v>0.38650624915374759</v>
      </c>
      <c r="I22" s="1125">
        <v>1278000</v>
      </c>
      <c r="J22" s="530">
        <f>'Rank data'!N124</f>
        <v>2356980</v>
      </c>
      <c r="K22" s="540">
        <f t="shared" si="0"/>
        <v>1164197840400</v>
      </c>
      <c r="L22" s="531">
        <f t="shared" si="1"/>
        <v>0.45778071939515819</v>
      </c>
      <c r="M22" s="776"/>
      <c r="N22" s="1134"/>
      <c r="O22" s="1134"/>
      <c r="P22" s="781"/>
      <c r="Q22" s="781"/>
      <c r="R22" s="781"/>
      <c r="S22" s="70"/>
      <c r="T22" s="81">
        <v>19</v>
      </c>
      <c r="U22" s="82">
        <v>1.3280000000000001</v>
      </c>
      <c r="W22" s="274" t="s">
        <v>295</v>
      </c>
      <c r="X22" s="534">
        <f>-AVERAGE(E19:F23)</f>
        <v>996776.76987340371</v>
      </c>
      <c r="Y22" s="534">
        <f>AVERAGE(D19:D23)</f>
        <v>2778316.7698734039</v>
      </c>
      <c r="Z22" s="440">
        <f>X22/Y22</f>
        <v>0.35877002244017792</v>
      </c>
      <c r="AA22" s="535">
        <f>AVERAGE(H19:H23)</f>
        <v>0.33213980563672907</v>
      </c>
    </row>
    <row r="23" spans="1:27">
      <c r="A23" s="98"/>
      <c r="B23" s="100">
        <v>1997</v>
      </c>
      <c r="C23" s="949">
        <v>2234000</v>
      </c>
      <c r="D23" s="530">
        <f>'Rank data'!F125</f>
        <v>4225244.7069207383</v>
      </c>
      <c r="E23" s="430"/>
      <c r="F23" s="532">
        <f>C23-D23</f>
        <v>-1991244.7069207383</v>
      </c>
      <c r="G23" s="540">
        <f t="shared" si="3"/>
        <v>3965055482839.8569</v>
      </c>
      <c r="H23" s="531">
        <f t="shared" si="2"/>
        <v>0.47127322676937022</v>
      </c>
      <c r="I23" s="1125">
        <v>1564000</v>
      </c>
      <c r="J23" s="530">
        <f>'Rank data'!N125</f>
        <v>2956086</v>
      </c>
      <c r="K23" s="540">
        <f t="shared" si="0"/>
        <v>1937903431396</v>
      </c>
      <c r="L23" s="531">
        <f t="shared" si="1"/>
        <v>0.47092202324289617</v>
      </c>
      <c r="M23" s="776"/>
      <c r="N23" s="1134"/>
      <c r="O23" s="1134"/>
      <c r="P23" s="781"/>
      <c r="Q23" s="781"/>
      <c r="R23" s="781"/>
      <c r="S23" s="70"/>
      <c r="T23" s="81">
        <v>20</v>
      </c>
      <c r="U23" s="82">
        <v>1.325</v>
      </c>
      <c r="W23">
        <v>98</v>
      </c>
    </row>
    <row r="24" spans="1:27">
      <c r="A24" s="98"/>
      <c r="B24" s="100">
        <v>1998</v>
      </c>
      <c r="C24" s="949">
        <v>2740000</v>
      </c>
      <c r="D24" s="530">
        <f>'Rank data'!F126</f>
        <v>2340017.7972266297</v>
      </c>
      <c r="E24" s="530">
        <f>C24-D24</f>
        <v>399982.20277337031</v>
      </c>
      <c r="F24" s="431"/>
      <c r="G24" s="540">
        <f t="shared" si="3"/>
        <v>159985762535.43753</v>
      </c>
      <c r="H24" s="531">
        <f t="shared" si="2"/>
        <v>-0.17093126524397637</v>
      </c>
      <c r="I24" s="1125">
        <v>1988000</v>
      </c>
      <c r="J24" s="530">
        <f>'Rank data'!N126</f>
        <v>1344746</v>
      </c>
      <c r="K24" s="540">
        <f t="shared" ref="K24:K30" si="4">(J24-I24)^2</f>
        <v>413775708516</v>
      </c>
      <c r="L24" s="531">
        <f t="shared" ref="L24:L30" si="5">(J24-I24)/J24</f>
        <v>-0.47834609658626981</v>
      </c>
      <c r="M24" s="776"/>
      <c r="N24" s="1134"/>
      <c r="O24" s="1134"/>
      <c r="P24" s="781"/>
      <c r="Q24" s="781"/>
      <c r="R24" s="781"/>
      <c r="S24" s="70"/>
      <c r="T24" s="81">
        <v>21</v>
      </c>
      <c r="U24" s="82">
        <v>1.323</v>
      </c>
    </row>
    <row r="25" spans="1:27">
      <c r="A25" s="98"/>
      <c r="B25" s="100">
        <v>1999</v>
      </c>
      <c r="C25" s="949">
        <v>2233651.0939117987</v>
      </c>
      <c r="D25" s="530">
        <f>'Rank data'!F127</f>
        <v>2707194</v>
      </c>
      <c r="E25" s="430"/>
      <c r="F25" s="532">
        <f>C25-D25</f>
        <v>-473542.90608820133</v>
      </c>
      <c r="G25" s="540">
        <f t="shared" ref="G25:G30" si="6">(D25-C25)^2</f>
        <v>224242883906.45908</v>
      </c>
      <c r="H25" s="531">
        <f t="shared" ref="H25:H30" si="7">(D25-C25)/D25</f>
        <v>0.17492019636871289</v>
      </c>
      <c r="I25" s="1125">
        <v>1250000</v>
      </c>
      <c r="J25" s="530">
        <f>'Rank data'!N127</f>
        <v>1686217</v>
      </c>
      <c r="K25" s="540">
        <f t="shared" si="4"/>
        <v>190285271089</v>
      </c>
      <c r="L25" s="531">
        <f t="shared" si="5"/>
        <v>0.25869564830623815</v>
      </c>
      <c r="M25" s="776"/>
      <c r="N25" s="1134"/>
      <c r="O25" s="1134"/>
      <c r="P25" s="781"/>
      <c r="Q25" s="781"/>
      <c r="R25" s="781"/>
      <c r="S25" s="70"/>
      <c r="T25" s="81">
        <v>22</v>
      </c>
      <c r="U25" s="82">
        <v>1.321</v>
      </c>
    </row>
    <row r="26" spans="1:27">
      <c r="A26" s="98"/>
      <c r="B26" s="100">
        <v>2000</v>
      </c>
      <c r="C26" s="949">
        <v>2097000</v>
      </c>
      <c r="D26" s="530">
        <f>'Rank data'!F128</f>
        <v>1681744</v>
      </c>
      <c r="E26" s="530">
        <f>C26-D26</f>
        <v>415256</v>
      </c>
      <c r="F26" s="431"/>
      <c r="G26" s="540">
        <f t="shared" si="6"/>
        <v>172437545536</v>
      </c>
      <c r="H26" s="531">
        <f t="shared" si="7"/>
        <v>-0.24691986414103453</v>
      </c>
      <c r="I26" s="1125">
        <v>1106029.5686614765</v>
      </c>
      <c r="J26" s="530">
        <f>'Rank data'!N128</f>
        <v>882505</v>
      </c>
      <c r="K26" s="540">
        <f t="shared" si="4"/>
        <v>49963232795.299118</v>
      </c>
      <c r="L26" s="531">
        <f t="shared" si="5"/>
        <v>-0.25328419517337181</v>
      </c>
      <c r="M26" s="776"/>
      <c r="N26" s="1134"/>
      <c r="O26" s="1134"/>
      <c r="P26" s="781"/>
      <c r="Q26" s="781"/>
      <c r="R26" s="781"/>
      <c r="S26" s="70"/>
      <c r="T26" s="81">
        <v>23</v>
      </c>
      <c r="U26" s="82">
        <v>1.319</v>
      </c>
    </row>
    <row r="27" spans="1:27">
      <c r="A27" s="98"/>
      <c r="B27" s="100">
        <v>2001</v>
      </c>
      <c r="C27" s="949">
        <v>1464735.8027802664</v>
      </c>
      <c r="D27" s="530">
        <f>'Rank data'!F129</f>
        <v>2311586</v>
      </c>
      <c r="E27" s="430"/>
      <c r="F27" s="532">
        <f t="shared" ref="F27:F33" si="8">C27-D27</f>
        <v>-846850.19721973361</v>
      </c>
      <c r="G27" s="540">
        <f t="shared" si="6"/>
        <v>717155256531.10168</v>
      </c>
      <c r="H27" s="531">
        <f t="shared" si="7"/>
        <v>0.36635028816567222</v>
      </c>
      <c r="I27" s="1125">
        <v>644223</v>
      </c>
      <c r="J27" s="530">
        <f>'Rank data'!N129</f>
        <v>1327957</v>
      </c>
      <c r="K27" s="540">
        <f t="shared" si="4"/>
        <v>467492182756</v>
      </c>
      <c r="L27" s="531">
        <f t="shared" si="5"/>
        <v>0.51487661121557404</v>
      </c>
      <c r="M27" s="776"/>
      <c r="N27" s="1134"/>
      <c r="O27" s="1134"/>
      <c r="P27" s="781"/>
      <c r="Q27" s="781"/>
      <c r="R27" s="781"/>
      <c r="S27" s="70"/>
      <c r="T27" s="81">
        <v>24</v>
      </c>
      <c r="U27" s="82">
        <v>1.3180000000000001</v>
      </c>
      <c r="W27" s="414"/>
    </row>
    <row r="28" spans="1:27">
      <c r="A28" s="98"/>
      <c r="B28" s="100">
        <v>2002</v>
      </c>
      <c r="C28" s="949">
        <v>1617150.6293003059</v>
      </c>
      <c r="D28" s="530">
        <f>'Rank data'!F130</f>
        <v>2202985</v>
      </c>
      <c r="E28" s="430"/>
      <c r="F28" s="532">
        <f t="shared" si="8"/>
        <v>-585834.37069969415</v>
      </c>
      <c r="G28" s="540">
        <f t="shared" si="6"/>
        <v>343201909893.10669</v>
      </c>
      <c r="H28" s="531">
        <f t="shared" si="7"/>
        <v>0.26592753500350397</v>
      </c>
      <c r="I28" s="1125">
        <v>803462.52658779139</v>
      </c>
      <c r="J28" s="530">
        <f>'Rank data'!N130</f>
        <v>1251023</v>
      </c>
      <c r="K28" s="540">
        <f t="shared" si="4"/>
        <v>200310377360.9603</v>
      </c>
      <c r="L28" s="531">
        <f t="shared" si="5"/>
        <v>0.3577555915536394</v>
      </c>
      <c r="M28" s="776"/>
      <c r="N28" s="1134"/>
      <c r="O28" s="1134"/>
      <c r="P28" s="781"/>
      <c r="Q28" s="781"/>
      <c r="R28" s="781"/>
      <c r="S28" s="70"/>
      <c r="T28" s="81">
        <v>25</v>
      </c>
      <c r="U28" s="82">
        <v>1.3160000000000001</v>
      </c>
      <c r="W28" s="414"/>
    </row>
    <row r="29" spans="1:27">
      <c r="A29" s="98"/>
      <c r="B29" s="100">
        <v>2003</v>
      </c>
      <c r="C29" s="949">
        <v>2016409</v>
      </c>
      <c r="D29" s="530">
        <f>'Rank data'!F131</f>
        <v>2046646</v>
      </c>
      <c r="E29" s="530"/>
      <c r="F29" s="532">
        <f t="shared" si="8"/>
        <v>-30237</v>
      </c>
      <c r="G29" s="540">
        <f t="shared" si="6"/>
        <v>914276169</v>
      </c>
      <c r="H29" s="531">
        <f t="shared" si="7"/>
        <v>1.4773927684611799E-2</v>
      </c>
      <c r="I29" s="1125">
        <v>1160698</v>
      </c>
      <c r="J29" s="530">
        <f>'Rank data'!N131</f>
        <v>1196422</v>
      </c>
      <c r="K29" s="540">
        <f t="shared" si="4"/>
        <v>1276204176</v>
      </c>
      <c r="L29" s="531">
        <f t="shared" si="5"/>
        <v>2.9859029673476416E-2</v>
      </c>
      <c r="M29" s="776"/>
      <c r="N29" s="1134"/>
      <c r="O29" s="1134"/>
      <c r="P29" s="781"/>
      <c r="Q29" s="781"/>
      <c r="R29" s="781"/>
      <c r="S29" s="70"/>
      <c r="T29" s="81">
        <v>26</v>
      </c>
      <c r="U29" s="82">
        <v>1.3149999999999999</v>
      </c>
      <c r="W29" s="414"/>
    </row>
    <row r="30" spans="1:27">
      <c r="A30" s="98"/>
      <c r="B30" s="100">
        <v>2004</v>
      </c>
      <c r="C30" s="949">
        <v>1640952.1662908648</v>
      </c>
      <c r="D30" s="530">
        <f>'Rank data'!F132</f>
        <v>1833209</v>
      </c>
      <c r="E30" s="430"/>
      <c r="F30" s="532">
        <f t="shared" si="8"/>
        <v>-192256.83370913519</v>
      </c>
      <c r="G30" s="540">
        <f t="shared" si="6"/>
        <v>36962690107.862061</v>
      </c>
      <c r="H30" s="531">
        <f t="shared" si="7"/>
        <v>0.10487447623764404</v>
      </c>
      <c r="I30" s="1126">
        <v>884783.34807392093</v>
      </c>
      <c r="J30" s="530">
        <f>'Rank data'!N132</f>
        <v>1049128</v>
      </c>
      <c r="K30" s="540">
        <f t="shared" si="4"/>
        <v>27009164616.704082</v>
      </c>
      <c r="L30" s="531">
        <f t="shared" si="5"/>
        <v>0.15664880922640428</v>
      </c>
      <c r="M30" s="776"/>
      <c r="N30" s="1134"/>
      <c r="O30" s="1134"/>
      <c r="P30" s="781"/>
      <c r="Q30" s="781"/>
      <c r="R30" s="781"/>
      <c r="S30" s="70"/>
      <c r="T30" s="81">
        <v>27</v>
      </c>
      <c r="U30" s="82">
        <v>1.3140000000000001</v>
      </c>
      <c r="W30" s="414"/>
    </row>
    <row r="31" spans="1:27">
      <c r="A31" s="98"/>
      <c r="B31" s="100">
        <v>2005</v>
      </c>
      <c r="C31" s="949">
        <v>2153684.8606076902</v>
      </c>
      <c r="D31" s="530">
        <f>'Rank data'!F133</f>
        <v>2279144.300560507</v>
      </c>
      <c r="E31" s="430"/>
      <c r="F31" s="532">
        <f t="shared" si="8"/>
        <v>-125459.43995281681</v>
      </c>
      <c r="G31" s="540">
        <f t="shared" ref="G31:G36" si="9">(D31-C31)^2</f>
        <v>15740071073.274448</v>
      </c>
      <c r="H31" s="531">
        <f t="shared" ref="H31:H36" si="10">(D31-C31)/D31</f>
        <v>5.504672956511035E-2</v>
      </c>
      <c r="I31" s="1126">
        <v>1350826.2937092972</v>
      </c>
      <c r="J31" s="530">
        <f>'Rank data'!N133</f>
        <v>1336763</v>
      </c>
      <c r="K31" s="540">
        <f t="shared" ref="K31:K36" si="11">(J31-I31)^2</f>
        <v>197776229.95395815</v>
      </c>
      <c r="L31" s="531">
        <f t="shared" ref="L31:L36" si="12">(J31-I31)/J31</f>
        <v>-1.0520409159512344E-2</v>
      </c>
      <c r="M31" s="776"/>
      <c r="N31" s="1134"/>
      <c r="O31" s="1134"/>
      <c r="P31" s="781"/>
      <c r="Q31" s="781"/>
      <c r="R31" s="781"/>
      <c r="S31" s="70"/>
      <c r="T31" s="81">
        <v>28</v>
      </c>
      <c r="U31" s="550">
        <v>1.3129999999999999</v>
      </c>
      <c r="W31" s="414"/>
    </row>
    <row r="32" spans="1:27">
      <c r="A32" s="98"/>
      <c r="B32" s="100">
        <v>2006</v>
      </c>
      <c r="C32" s="949">
        <v>1868000</v>
      </c>
      <c r="D32" s="530">
        <f>'Rank data'!F134</f>
        <v>2594388</v>
      </c>
      <c r="F32" s="532">
        <f t="shared" si="8"/>
        <v>-726388</v>
      </c>
      <c r="G32" s="540">
        <f t="shared" si="9"/>
        <v>527639526544</v>
      </c>
      <c r="H32" s="531">
        <f t="shared" si="10"/>
        <v>0.27998433541937445</v>
      </c>
      <c r="I32" s="1125">
        <v>1007402</v>
      </c>
      <c r="J32" s="530">
        <f>'Rank data'!N134</f>
        <v>1500303</v>
      </c>
      <c r="K32" s="540">
        <f t="shared" si="11"/>
        <v>242951395801</v>
      </c>
      <c r="L32" s="531">
        <f t="shared" si="12"/>
        <v>0.32853430273751366</v>
      </c>
      <c r="M32" s="776"/>
      <c r="N32" s="1134"/>
      <c r="O32" s="1134"/>
      <c r="P32" s="781"/>
      <c r="Q32" s="781"/>
      <c r="R32" s="781"/>
      <c r="S32" s="70"/>
      <c r="T32" s="81">
        <v>29</v>
      </c>
      <c r="U32" s="82">
        <v>1.3109999999999999</v>
      </c>
      <c r="W32" s="414"/>
    </row>
    <row r="33" spans="1:23">
      <c r="A33" s="98"/>
      <c r="B33" s="100">
        <v>2007</v>
      </c>
      <c r="C33" s="949">
        <v>1956189.4113262331</v>
      </c>
      <c r="D33" s="530">
        <f>'Rank data'!F135</f>
        <v>2962986</v>
      </c>
      <c r="F33" s="532">
        <f t="shared" si="8"/>
        <v>-1006796.5886737669</v>
      </c>
      <c r="G33" s="540">
        <f>(D33-C33)^2</f>
        <v>1013639370965.1343</v>
      </c>
      <c r="H33" s="531">
        <f t="shared" si="10"/>
        <v>0.33979120680076347</v>
      </c>
      <c r="I33" s="1127">
        <v>1157093.2195347864</v>
      </c>
      <c r="J33" s="530">
        <f>'Rank data'!N135</f>
        <v>1906951</v>
      </c>
      <c r="K33" s="540">
        <f t="shared" si="11"/>
        <v>562286690924.21643</v>
      </c>
      <c r="L33" s="531">
        <f t="shared" si="12"/>
        <v>0.39322341290636914</v>
      </c>
      <c r="M33" s="776"/>
      <c r="N33" s="1134"/>
      <c r="O33" s="1134"/>
      <c r="P33" s="781"/>
      <c r="Q33" s="781"/>
      <c r="R33" s="781"/>
      <c r="S33" s="70"/>
      <c r="T33" s="81">
        <v>30</v>
      </c>
      <c r="U33" s="82">
        <v>1.31</v>
      </c>
      <c r="W33" s="414"/>
    </row>
    <row r="34" spans="1:23">
      <c r="A34" s="98"/>
      <c r="B34" s="100">
        <v>2008</v>
      </c>
      <c r="C34" s="949">
        <v>1573736</v>
      </c>
      <c r="D34" s="530">
        <f>'Rank data'!F136</f>
        <v>1142115</v>
      </c>
      <c r="E34" s="530">
        <f>C34-D34</f>
        <v>431621</v>
      </c>
      <c r="F34" s="432"/>
      <c r="G34" s="540">
        <f t="shared" si="9"/>
        <v>186296687641</v>
      </c>
      <c r="H34" s="531">
        <f t="shared" si="10"/>
        <v>-0.3779137827626815</v>
      </c>
      <c r="I34" s="1127">
        <v>742166</v>
      </c>
      <c r="J34" s="530">
        <f>'Rank data'!N136</f>
        <v>325236</v>
      </c>
      <c r="K34" s="540">
        <f t="shared" si="11"/>
        <v>173830624900</v>
      </c>
      <c r="L34" s="531">
        <f t="shared" si="12"/>
        <v>-1.2819306595825801</v>
      </c>
      <c r="M34" s="776"/>
      <c r="N34" s="1134"/>
      <c r="O34" s="1134"/>
      <c r="P34" s="781"/>
      <c r="Q34" s="781"/>
      <c r="R34" s="781"/>
      <c r="S34" s="70"/>
      <c r="T34" s="81">
        <v>35</v>
      </c>
      <c r="U34" s="82">
        <v>1.306</v>
      </c>
      <c r="W34" s="414"/>
    </row>
    <row r="35" spans="1:23">
      <c r="A35" s="98"/>
      <c r="B35" s="100">
        <v>2009</v>
      </c>
      <c r="C35" s="949">
        <v>1332223.0135347254</v>
      </c>
      <c r="D35" s="530">
        <f>'Rank data'!F137</f>
        <v>1725677</v>
      </c>
      <c r="F35" s="532">
        <f>C35-D35</f>
        <v>-393453.98646527459</v>
      </c>
      <c r="G35" s="540">
        <f t="shared" si="9"/>
        <v>154806039465.41647</v>
      </c>
      <c r="H35" s="531">
        <f t="shared" si="10"/>
        <v>0.22799978586101258</v>
      </c>
      <c r="I35" s="1127">
        <v>509588.01877641072</v>
      </c>
      <c r="J35" s="530">
        <f>'Rank data'!N137</f>
        <v>909566</v>
      </c>
      <c r="K35" s="540">
        <f t="shared" si="11"/>
        <v>159982385463.69794</v>
      </c>
      <c r="L35" s="531">
        <f t="shared" si="12"/>
        <v>0.43974596810301758</v>
      </c>
      <c r="M35" s="776"/>
      <c r="N35" s="1134"/>
      <c r="O35" s="1134"/>
      <c r="P35" s="781"/>
      <c r="Q35" s="781"/>
      <c r="R35" s="781"/>
      <c r="S35" s="70"/>
      <c r="T35" s="81">
        <v>40</v>
      </c>
      <c r="U35" s="82">
        <v>1.3029999999999999</v>
      </c>
      <c r="W35" s="414"/>
    </row>
    <row r="36" spans="1:23">
      <c r="A36" s="98"/>
      <c r="B36" s="100">
        <v>2010</v>
      </c>
      <c r="C36" s="949">
        <v>2174017.7377385828</v>
      </c>
      <c r="D36" s="530">
        <f>'Rank data'!F138</f>
        <v>1720439</v>
      </c>
      <c r="E36" s="530">
        <f>C36-D36</f>
        <v>453578.73773858277</v>
      </c>
      <c r="F36" s="885"/>
      <c r="G36" s="886">
        <f t="shared" si="9"/>
        <v>205733671328.52606</v>
      </c>
      <c r="H36" s="887">
        <f t="shared" si="10"/>
        <v>-0.26364127861469239</v>
      </c>
      <c r="I36" s="1125">
        <v>1269773.4915194036</v>
      </c>
      <c r="J36" s="530">
        <f>'Rank data'!N138</f>
        <v>650373</v>
      </c>
      <c r="K36" s="540">
        <f t="shared" si="11"/>
        <v>383656968894.47882</v>
      </c>
      <c r="L36" s="531">
        <f t="shared" si="12"/>
        <v>-0.95237731504752454</v>
      </c>
      <c r="M36" s="776"/>
      <c r="N36" s="1134"/>
      <c r="O36" s="1134"/>
      <c r="P36" s="781"/>
      <c r="Q36" s="781"/>
      <c r="R36" s="781"/>
      <c r="S36" s="70"/>
      <c r="T36" s="81">
        <v>45</v>
      </c>
      <c r="U36" s="82">
        <v>1.3009999999999999</v>
      </c>
      <c r="W36" s="414"/>
    </row>
    <row r="37" spans="1:23">
      <c r="A37" s="98"/>
      <c r="B37" s="100">
        <v>2011</v>
      </c>
      <c r="C37" s="949">
        <v>2007841.8306324906</v>
      </c>
      <c r="D37" s="530">
        <f>'Rank data'!F139</f>
        <v>3105686</v>
      </c>
      <c r="E37" s="777"/>
      <c r="F37" s="532">
        <f>C37-D37</f>
        <v>-1097844.1693675094</v>
      </c>
      <c r="G37" s="886">
        <f t="shared" ref="G37" si="13">(D37-C37)^2</f>
        <v>1205261820214.2368</v>
      </c>
      <c r="H37" s="887">
        <f t="shared" ref="H37" si="14">(D37-C37)/D37</f>
        <v>0.35349490237181397</v>
      </c>
      <c r="I37" s="1125">
        <v>1180239.8594942866</v>
      </c>
      <c r="J37" s="530">
        <f>'Rank data'!N139</f>
        <v>2070572</v>
      </c>
      <c r="K37" s="540">
        <f t="shared" ref="K37" si="15">(J37-I37)^2</f>
        <v>792691320417.48535</v>
      </c>
      <c r="L37" s="531">
        <f t="shared" ref="L37" si="16">(J37-I37)/J37</f>
        <v>0.42999332576008631</v>
      </c>
      <c r="M37" s="776"/>
      <c r="N37" s="1134"/>
      <c r="O37" s="1134"/>
      <c r="P37" s="781"/>
      <c r="Q37" s="781"/>
      <c r="R37" s="781"/>
      <c r="S37" s="70"/>
      <c r="T37" s="81">
        <v>50</v>
      </c>
      <c r="U37" s="82">
        <v>1.2989999999999999</v>
      </c>
      <c r="W37" s="414"/>
    </row>
    <row r="38" spans="1:23">
      <c r="A38" s="98"/>
      <c r="B38" s="100">
        <v>2012</v>
      </c>
      <c r="C38" s="949">
        <v>2145174</v>
      </c>
      <c r="D38" s="530">
        <f>'Rank data'!F140</f>
        <v>3275588</v>
      </c>
      <c r="E38" s="777"/>
      <c r="F38" s="532">
        <f>C38-D38</f>
        <v>-1130414</v>
      </c>
      <c r="G38" s="886">
        <f t="shared" ref="G38" si="17">(D38-C38)^2</f>
        <v>1277835811396</v>
      </c>
      <c r="H38" s="887">
        <f>(D38-C38)/D38</f>
        <v>0.34510261974338652</v>
      </c>
      <c r="I38" s="1127">
        <v>1229983</v>
      </c>
      <c r="J38" s="530">
        <f>'Rank data'!N140</f>
        <v>1875348</v>
      </c>
      <c r="K38" s="540">
        <f t="shared" ref="K38" si="18">(J38-I38)^2</f>
        <v>416495983225</v>
      </c>
      <c r="L38" s="531">
        <f t="shared" ref="L38" si="19">(J38-I38)/J38</f>
        <v>0.34413079599093077</v>
      </c>
      <c r="M38" s="776"/>
      <c r="N38" s="1134"/>
      <c r="O38" s="1134"/>
      <c r="P38" s="781"/>
      <c r="Q38" s="781"/>
      <c r="R38" s="781"/>
      <c r="S38" s="70"/>
      <c r="T38" s="81">
        <v>55</v>
      </c>
      <c r="U38" s="82">
        <v>1.2969999999999999</v>
      </c>
      <c r="W38" s="414"/>
    </row>
    <row r="39" spans="1:23">
      <c r="A39" s="98"/>
      <c r="B39" s="100">
        <v>2013</v>
      </c>
      <c r="C39" s="1118">
        <v>2241231.1650385</v>
      </c>
      <c r="D39" s="530">
        <f>'Rank data'!F141</f>
        <v>3008925</v>
      </c>
      <c r="E39" s="777"/>
      <c r="F39" s="532">
        <f>C39-D39</f>
        <v>-767693.83496150002</v>
      </c>
      <c r="G39" s="886">
        <f t="shared" ref="G39" si="20">(D39-C39)^2</f>
        <v>589353824237.89478</v>
      </c>
      <c r="H39" s="887">
        <f>(D39-C39)/D39</f>
        <v>0.25513890673961631</v>
      </c>
      <c r="I39" s="1128">
        <v>1300875.8436068504</v>
      </c>
      <c r="J39" s="530">
        <f>'Rank data'!N141</f>
        <v>1621667</v>
      </c>
      <c r="K39" s="540">
        <f t="shared" ref="K39" si="21">(J39-I39)^2</f>
        <v>102906966020.05418</v>
      </c>
      <c r="L39" s="531">
        <f t="shared" ref="L39" si="22">(J39-I39)/J39</f>
        <v>0.19781567756706503</v>
      </c>
      <c r="M39" s="776"/>
      <c r="N39" s="1134"/>
      <c r="O39" s="1134"/>
      <c r="P39" s="781"/>
      <c r="Q39" s="781"/>
      <c r="R39" s="781"/>
      <c r="S39" s="70"/>
      <c r="T39" s="81">
        <v>60</v>
      </c>
      <c r="U39" s="82">
        <v>1.296</v>
      </c>
      <c r="W39" s="414"/>
    </row>
    <row r="40" spans="1:23">
      <c r="A40" s="98"/>
      <c r="B40" s="100">
        <v>2014</v>
      </c>
      <c r="C40" s="1118">
        <v>2595097.8273703028</v>
      </c>
      <c r="D40" s="530">
        <f>'Rank data'!F142</f>
        <v>3313890.1025</v>
      </c>
      <c r="E40" s="777"/>
      <c r="F40" s="532">
        <f>C40-D40</f>
        <v>-718792.27512969729</v>
      </c>
      <c r="G40" s="886">
        <f t="shared" ref="G40" si="23">(D40-C40)^2</f>
        <v>516662334786.12646</v>
      </c>
      <c r="H40" s="887">
        <f>(D40-C40)/D40</f>
        <v>0.21690287031167391</v>
      </c>
      <c r="I40" s="1128">
        <v>1599229.4800910801</v>
      </c>
      <c r="J40" s="530">
        <f>'Rank data'!N142</f>
        <v>1977357.1025</v>
      </c>
      <c r="K40" s="540">
        <f t="shared" ref="K40" si="24">(J40-I40)^2</f>
        <v>142980498828.62274</v>
      </c>
      <c r="L40" s="531">
        <f t="shared" ref="L40" si="25">(J40-I40)/J40</f>
        <v>0.19122879824329553</v>
      </c>
      <c r="M40" s="776"/>
      <c r="N40" s="1134"/>
      <c r="O40" s="1134"/>
      <c r="P40" s="781"/>
      <c r="Q40" s="781"/>
      <c r="R40" s="781"/>
      <c r="S40" s="70"/>
      <c r="T40" s="81">
        <v>70</v>
      </c>
      <c r="U40" s="82">
        <v>1.294</v>
      </c>
      <c r="W40" s="414"/>
    </row>
    <row r="41" spans="1:23">
      <c r="A41" s="98"/>
      <c r="B41" s="100">
        <v>2015</v>
      </c>
      <c r="C41" s="533">
        <f>'Fcst Sumry'!G96</f>
        <v>3192278.787273074</v>
      </c>
      <c r="D41" s="949"/>
      <c r="E41" s="777"/>
      <c r="F41" s="885"/>
      <c r="G41" s="890"/>
      <c r="H41" s="891"/>
      <c r="I41" s="951">
        <f>'Fcst Sumry'!G101</f>
        <v>2236514.6387718106</v>
      </c>
      <c r="J41" s="889"/>
      <c r="K41" s="540"/>
      <c r="L41" s="531"/>
      <c r="M41" s="776"/>
      <c r="N41" s="781"/>
      <c r="O41" s="781"/>
      <c r="P41" s="781"/>
      <c r="Q41" s="781"/>
      <c r="R41" s="781"/>
      <c r="S41" s="70"/>
      <c r="T41" s="81">
        <v>80</v>
      </c>
      <c r="U41" s="82">
        <v>1.2929999999999999</v>
      </c>
      <c r="W41" s="414"/>
    </row>
    <row r="42" spans="1:23">
      <c r="A42" s="98"/>
      <c r="B42" s="100"/>
      <c r="C42" s="998"/>
      <c r="D42" s="949"/>
      <c r="E42" s="777"/>
      <c r="F42" s="885"/>
      <c r="G42" s="890"/>
      <c r="H42" s="891"/>
      <c r="I42" s="888"/>
      <c r="J42" s="889"/>
      <c r="K42" s="540"/>
      <c r="L42" s="531"/>
      <c r="M42" s="1131"/>
      <c r="N42" s="781"/>
      <c r="O42" s="781"/>
      <c r="P42" s="781"/>
      <c r="Q42" s="781"/>
      <c r="R42" s="781"/>
      <c r="S42" s="70"/>
      <c r="T42" s="81">
        <v>90</v>
      </c>
      <c r="U42" s="82">
        <v>1.2909999999999999</v>
      </c>
      <c r="W42" s="414"/>
    </row>
    <row r="43" spans="1:23">
      <c r="A43" s="98"/>
      <c r="B43" s="100"/>
      <c r="C43" s="884"/>
      <c r="D43" s="777"/>
      <c r="E43" s="777"/>
      <c r="F43" s="885"/>
      <c r="G43" s="890"/>
      <c r="H43" s="891"/>
      <c r="I43" s="888"/>
      <c r="J43" s="889"/>
      <c r="K43" s="540"/>
      <c r="L43" s="531"/>
      <c r="M43" s="1130"/>
      <c r="N43" s="1135"/>
      <c r="O43" s="1135"/>
      <c r="P43" s="781"/>
      <c r="Q43" s="781"/>
      <c r="R43" s="781"/>
      <c r="S43" s="70"/>
      <c r="T43" s="81">
        <v>100</v>
      </c>
      <c r="U43" s="82">
        <v>1.29</v>
      </c>
      <c r="W43" s="414"/>
    </row>
    <row r="44" spans="1:23">
      <c r="A44" s="98"/>
      <c r="B44" s="100"/>
      <c r="C44" s="101"/>
      <c r="D44" s="515"/>
      <c r="F44" s="432"/>
      <c r="G44" s="99"/>
      <c r="H44" s="552"/>
      <c r="I44" s="546"/>
      <c r="J44" s="70"/>
      <c r="K44" s="541"/>
      <c r="L44" s="102"/>
      <c r="M44" s="1129"/>
      <c r="N44" s="1135"/>
      <c r="O44" s="1135"/>
      <c r="P44" s="782"/>
      <c r="Q44" s="782"/>
      <c r="R44" s="782"/>
      <c r="S44" s="70"/>
      <c r="T44" s="111">
        <v>120</v>
      </c>
      <c r="U44" s="112">
        <v>1.2889999999999999</v>
      </c>
      <c r="W44" s="414"/>
    </row>
    <row r="45" spans="1:23">
      <c r="A45" s="98"/>
      <c r="B45" s="84"/>
      <c r="C45" s="101"/>
      <c r="D45" s="547" t="s">
        <v>336</v>
      </c>
      <c r="E45" s="548"/>
      <c r="F45" s="548"/>
      <c r="G45" s="549">
        <f>SUM(G9:G44)</f>
        <v>15018177608558.869</v>
      </c>
      <c r="H45" s="557">
        <f>SUM(H9:H44)</f>
        <v>4.3234912098023539</v>
      </c>
      <c r="I45" s="546"/>
      <c r="J45" s="75" t="s">
        <v>117</v>
      </c>
      <c r="K45" s="542">
        <f>SUM(K9:K44)</f>
        <v>8272024094311.4727</v>
      </c>
      <c r="L45" s="536">
        <f>SUM(L9:L44)</f>
        <v>2.8281917530601626</v>
      </c>
      <c r="M45" s="1132"/>
      <c r="N45" s="1135"/>
      <c r="O45" s="1135"/>
      <c r="P45" s="783"/>
      <c r="Q45" s="783"/>
      <c r="R45" s="783"/>
      <c r="S45" s="70"/>
      <c r="W45" s="414"/>
    </row>
    <row r="46" spans="1:23">
      <c r="A46" s="98"/>
      <c r="B46" s="84"/>
      <c r="D46" s="103" t="s">
        <v>118</v>
      </c>
      <c r="E46" s="103"/>
      <c r="F46" s="103"/>
      <c r="G46" s="558">
        <f>SQRT(G45/K2)</f>
        <v>696029.69923098572</v>
      </c>
      <c r="H46" s="557">
        <f>H45/COUNTA(H9:H44)</f>
        <v>0.13510910030632356</v>
      </c>
      <c r="I46" s="101"/>
      <c r="J46" s="103" t="s">
        <v>118</v>
      </c>
      <c r="K46" s="530">
        <f>SQRT(K45/K2)</f>
        <v>516565.08487631381</v>
      </c>
      <c r="L46" s="468">
        <f>L45/COUNTA(L9:L44)</f>
        <v>8.838099228313008E-2</v>
      </c>
      <c r="M46" s="553"/>
      <c r="N46" s="784"/>
      <c r="O46" s="784"/>
      <c r="P46" s="784"/>
      <c r="Q46" s="784"/>
      <c r="R46" s="784"/>
      <c r="S46" s="70"/>
      <c r="W46" s="414"/>
    </row>
    <row r="47" spans="1:23">
      <c r="A47" s="103"/>
      <c r="B47" s="103"/>
      <c r="C47" s="101"/>
      <c r="D47" s="103" t="s">
        <v>119</v>
      </c>
      <c r="E47" s="103"/>
      <c r="F47" s="103"/>
      <c r="G47" s="559"/>
      <c r="H47" s="468">
        <f>H46*0.8</f>
        <v>0.10808728024505886</v>
      </c>
      <c r="I47" s="101"/>
      <c r="J47" s="103" t="s">
        <v>119</v>
      </c>
      <c r="K47" s="70"/>
      <c r="L47" s="537">
        <f>L46*0.8</f>
        <v>7.0704793826504062E-2</v>
      </c>
      <c r="M47" s="1133"/>
      <c r="N47" s="783"/>
      <c r="O47" s="783"/>
      <c r="P47" s="783"/>
      <c r="Q47" s="783"/>
      <c r="R47" s="783"/>
      <c r="S47" s="70"/>
      <c r="W47" s="414"/>
    </row>
    <row r="48" spans="1:23">
      <c r="A48" s="103"/>
      <c r="B48" s="84"/>
      <c r="C48" s="81" t="s">
        <v>120</v>
      </c>
      <c r="D48" s="104" t="s">
        <v>121</v>
      </c>
      <c r="E48" s="104"/>
      <c r="F48" s="773"/>
      <c r="G48" s="560">
        <f>G46*$K$3</f>
        <v>911798.90599259129</v>
      </c>
      <c r="H48" s="609">
        <f>G48/C41</f>
        <v>0.28562633991358666</v>
      </c>
      <c r="I48" s="101"/>
      <c r="J48" s="78" t="s">
        <v>121</v>
      </c>
      <c r="K48" s="561">
        <f>K46*$K$3</f>
        <v>676700.2611879711</v>
      </c>
      <c r="L48" s="610">
        <f>K48/I41</f>
        <v>0.30256911779463391</v>
      </c>
      <c r="M48" s="1130"/>
      <c r="N48" s="1135"/>
      <c r="O48" s="1135"/>
      <c r="P48" s="783"/>
      <c r="Q48" s="783"/>
      <c r="R48" s="783"/>
      <c r="S48" s="70"/>
      <c r="W48" s="414"/>
    </row>
    <row r="49" spans="1:26">
      <c r="A49" s="107"/>
      <c r="B49" s="86"/>
      <c r="C49" s="108"/>
      <c r="D49" s="109"/>
      <c r="E49" s="109"/>
      <c r="F49" s="109"/>
      <c r="G49" s="105"/>
      <c r="H49" s="110"/>
      <c r="I49" s="108"/>
      <c r="J49" s="109"/>
      <c r="K49" s="109"/>
      <c r="L49" s="106"/>
      <c r="M49" s="1129"/>
      <c r="N49" s="1135"/>
      <c r="O49" s="1135"/>
      <c r="P49" s="782"/>
      <c r="Q49" s="782"/>
      <c r="R49" s="782"/>
      <c r="S49" s="70"/>
      <c r="W49" s="414"/>
    </row>
    <row r="50" spans="1:26">
      <c r="J50" s="70"/>
      <c r="K50" s="70"/>
      <c r="L50" s="70"/>
      <c r="M50" s="1132"/>
      <c r="N50" s="1135"/>
      <c r="O50" s="1135"/>
      <c r="P50" s="777"/>
      <c r="Q50" s="777"/>
      <c r="R50" s="777"/>
      <c r="S50" s="70"/>
      <c r="W50" s="414"/>
    </row>
    <row r="51" spans="1:26">
      <c r="C51" s="72" t="s">
        <v>68</v>
      </c>
      <c r="D51" s="2"/>
      <c r="E51" s="677" t="s">
        <v>398</v>
      </c>
      <c r="I51" s="72" t="s">
        <v>106</v>
      </c>
      <c r="J51" s="2"/>
      <c r="K51" s="677" t="s">
        <v>398</v>
      </c>
      <c r="L51" s="645"/>
      <c r="M51" s="645"/>
      <c r="N51" s="785"/>
      <c r="O51" s="785"/>
      <c r="P51" s="785"/>
      <c r="Q51" s="785"/>
      <c r="R51" s="785"/>
      <c r="S51" s="70"/>
      <c r="W51" s="414"/>
    </row>
    <row r="52" spans="1:26">
      <c r="B52" s="673" t="s">
        <v>396</v>
      </c>
      <c r="C52" s="673" t="s">
        <v>111</v>
      </c>
      <c r="D52" s="674" t="s">
        <v>399</v>
      </c>
      <c r="E52" s="678" t="s">
        <v>617</v>
      </c>
      <c r="F52" s="617"/>
      <c r="G52" s="617"/>
      <c r="H52" s="673" t="s">
        <v>396</v>
      </c>
      <c r="I52" s="673" t="s">
        <v>111</v>
      </c>
      <c r="J52" s="674" t="s">
        <v>399</v>
      </c>
      <c r="K52" s="678" t="s">
        <v>617</v>
      </c>
      <c r="L52" s="646"/>
      <c r="M52" s="646"/>
      <c r="N52" s="689"/>
      <c r="O52" s="689"/>
      <c r="P52" s="689"/>
      <c r="Q52" s="689"/>
      <c r="R52" s="689"/>
      <c r="S52" s="70"/>
      <c r="W52" s="430"/>
      <c r="X52" s="430"/>
      <c r="Y52" s="430"/>
      <c r="Z52" s="414"/>
    </row>
    <row r="53" spans="1:26">
      <c r="B53" s="675" t="s">
        <v>393</v>
      </c>
      <c r="C53" s="558">
        <f>AVERAGE(C36:C40)</f>
        <v>2232672.5121559752</v>
      </c>
      <c r="D53" s="558">
        <f>AVERAGE(D36:D40)</f>
        <v>2884905.6204999997</v>
      </c>
      <c r="E53" s="558">
        <f>D53-$C$40</f>
        <v>289807.79312969698</v>
      </c>
      <c r="F53" s="617"/>
      <c r="G53" s="617"/>
      <c r="H53" s="675" t="s">
        <v>393</v>
      </c>
      <c r="I53" s="558">
        <f>AVERAGE(I36:I40)</f>
        <v>1316020.3349423241</v>
      </c>
      <c r="J53" s="558">
        <f>AVERAGE(J36:J40)</f>
        <v>1639063.4205</v>
      </c>
      <c r="K53" s="558">
        <f>J53-$I$40</f>
        <v>39833.940408919938</v>
      </c>
      <c r="L53" s="70"/>
      <c r="M53" s="70"/>
      <c r="N53" s="777"/>
      <c r="O53" s="777"/>
      <c r="P53" s="777"/>
      <c r="Q53" s="777"/>
      <c r="R53" s="777"/>
      <c r="S53" s="70"/>
      <c r="W53" s="430"/>
      <c r="X53" s="430"/>
      <c r="Y53" s="430"/>
      <c r="Z53" s="414"/>
    </row>
    <row r="54" spans="1:26">
      <c r="B54" s="675" t="s">
        <v>394</v>
      </c>
      <c r="C54" s="558">
        <f>AVERAGE(C31:C40)</f>
        <v>2004719.5846248523</v>
      </c>
      <c r="D54" s="558">
        <f>AVERAGE(D31:D40)</f>
        <v>2512883.8403060506</v>
      </c>
      <c r="E54" s="558">
        <f>D54-$C$40</f>
        <v>-82213.987064252142</v>
      </c>
      <c r="H54" s="675" t="s">
        <v>394</v>
      </c>
      <c r="I54" s="558">
        <f>AVERAGE(I31:I40)</f>
        <v>1134717.7206732114</v>
      </c>
      <c r="J54" s="558">
        <f>AVERAGE(J31:J40)</f>
        <v>1417413.6102499999</v>
      </c>
      <c r="K54" s="558">
        <f t="shared" ref="K54:K56" si="26">J54-$I$40</f>
        <v>-181815.86984108016</v>
      </c>
      <c r="L54" s="70"/>
      <c r="M54" s="70"/>
      <c r="N54" s="777"/>
      <c r="O54" s="777"/>
      <c r="P54" s="777"/>
      <c r="Q54" s="777"/>
      <c r="R54" s="777"/>
      <c r="S54" s="70"/>
      <c r="W54" s="430"/>
      <c r="X54" s="430"/>
      <c r="Y54" s="430"/>
      <c r="Z54" s="414"/>
    </row>
    <row r="55" spans="1:26">
      <c r="B55" s="675" t="s">
        <v>395</v>
      </c>
      <c r="C55" s="558">
        <f>AVERAGE(C21:C40)</f>
        <v>1989559.7269265875</v>
      </c>
      <c r="D55" s="558">
        <f>AVERAGE(D21:D40)</f>
        <v>2491327.4329093518</v>
      </c>
      <c r="E55" s="558">
        <f>D55-$C$40</f>
        <v>-103770.39446095098</v>
      </c>
      <c r="H55" s="675" t="s">
        <v>395</v>
      </c>
      <c r="I55" s="558">
        <f>AVERAGE(I21:I40)</f>
        <v>1154368.6825027654</v>
      </c>
      <c r="J55" s="558">
        <f>AVERAGE(J21:J40)</f>
        <v>1474851.105125</v>
      </c>
      <c r="K55" s="558">
        <f t="shared" si="26"/>
        <v>-124378.37496608007</v>
      </c>
      <c r="L55" s="70"/>
      <c r="M55" s="70"/>
      <c r="N55" s="777"/>
      <c r="O55" s="777"/>
      <c r="P55" s="777"/>
      <c r="Q55" s="777"/>
      <c r="R55" s="777"/>
      <c r="S55" s="70"/>
      <c r="W55" s="430"/>
      <c r="X55" s="430"/>
      <c r="Y55" s="430"/>
      <c r="Z55" s="414"/>
    </row>
    <row r="56" spans="1:26">
      <c r="B56" s="676" t="s">
        <v>397</v>
      </c>
      <c r="C56" s="558">
        <f>AVERAGE(C16:C40)</f>
        <v>1898991.78154127</v>
      </c>
      <c r="D56" s="558">
        <f>AVERAGE(D16:D40)</f>
        <v>2374833.4038753882</v>
      </c>
      <c r="E56" s="558">
        <f>D56-$C$40</f>
        <v>-220264.42349491455</v>
      </c>
      <c r="H56" s="676" t="s">
        <v>397</v>
      </c>
      <c r="I56" s="558">
        <f>AVERAGE(I16:I40)</f>
        <v>1087174.9460022121</v>
      </c>
      <c r="J56" s="558">
        <f>AVERAGE(J16:J40)</f>
        <v>1402921.7241</v>
      </c>
      <c r="K56" s="558">
        <f t="shared" si="26"/>
        <v>-196307.75599108008</v>
      </c>
      <c r="L56" s="70"/>
      <c r="M56" s="70"/>
      <c r="N56" s="777"/>
      <c r="O56" s="777"/>
      <c r="P56" s="777"/>
      <c r="Q56" s="777"/>
      <c r="R56" s="777"/>
      <c r="S56" s="70"/>
      <c r="W56" s="430"/>
      <c r="X56" s="430"/>
      <c r="Y56" s="430"/>
      <c r="Z56" s="414"/>
    </row>
    <row r="61" spans="1:26">
      <c r="A61" s="679"/>
      <c r="B61" s="679"/>
      <c r="C61" s="680"/>
      <c r="D61" s="679"/>
      <c r="E61" s="679"/>
      <c r="F61" s="679"/>
      <c r="G61" s="681"/>
    </row>
    <row r="62" spans="1:26" ht="15.75">
      <c r="A62" s="646"/>
      <c r="B62" s="646"/>
      <c r="C62" s="614" t="s">
        <v>352</v>
      </c>
      <c r="D62" s="615"/>
      <c r="E62" s="546"/>
      <c r="F62" s="646"/>
      <c r="G62" s="682" t="s">
        <v>329</v>
      </c>
      <c r="I62"/>
    </row>
    <row r="63" spans="1:26">
      <c r="A63" s="683" t="s">
        <v>110</v>
      </c>
      <c r="B63" s="683" t="s">
        <v>27</v>
      </c>
      <c r="C63" s="684" t="s">
        <v>111</v>
      </c>
      <c r="D63" s="684" t="s">
        <v>112</v>
      </c>
      <c r="E63" s="684" t="s">
        <v>107</v>
      </c>
      <c r="F63" s="683" t="s">
        <v>304</v>
      </c>
      <c r="G63" s="683" t="s">
        <v>348</v>
      </c>
      <c r="I63" s="616" t="str">
        <f ca="1">CELL("filename",A1)</f>
        <v>O:\DCF\SALMON\FORECAST\2015\[2015_Copper River Wild Sockeye forecast_FINAL.xlsm]Performance</v>
      </c>
    </row>
    <row r="64" spans="1:26">
      <c r="A64" s="70" t="s">
        <v>116</v>
      </c>
      <c r="B64" s="90">
        <v>1983</v>
      </c>
      <c r="C64" s="539">
        <f t="shared" ref="C64:D95" si="27">C9</f>
        <v>971000</v>
      </c>
      <c r="D64" s="539">
        <f t="shared" si="27"/>
        <v>1442855.8681101864</v>
      </c>
      <c r="E64" s="532">
        <f>C64-D64</f>
        <v>-471855.86811018642</v>
      </c>
      <c r="F64" s="538">
        <f>E64/D64*100</f>
        <v>-32.702910840859694</v>
      </c>
      <c r="G64" s="538">
        <f>ABS(F64)</f>
        <v>32.702910840859694</v>
      </c>
      <c r="I64"/>
    </row>
    <row r="65" spans="2:9">
      <c r="B65" s="90">
        <v>1984</v>
      </c>
      <c r="C65" s="539">
        <f t="shared" si="27"/>
        <v>1121000</v>
      </c>
      <c r="D65" s="539">
        <f t="shared" si="27"/>
        <v>1831932.7361524117</v>
      </c>
      <c r="E65" s="532">
        <f t="shared" ref="E65:E85" si="28">C65-D65</f>
        <v>-710932.73615241167</v>
      </c>
      <c r="F65" s="538">
        <f t="shared" ref="F65:F80" si="29">E65/D65*100</f>
        <v>-38.807796930665475</v>
      </c>
      <c r="G65" s="538">
        <f t="shared" ref="G65:G90" si="30">ABS(F65)</f>
        <v>38.807796930665475</v>
      </c>
      <c r="I65"/>
    </row>
    <row r="66" spans="2:9">
      <c r="B66" s="90">
        <v>1985</v>
      </c>
      <c r="C66" s="539">
        <f t="shared" si="27"/>
        <v>1775000</v>
      </c>
      <c r="D66" s="539">
        <f t="shared" si="27"/>
        <v>1659078.2163551403</v>
      </c>
      <c r="E66" s="532">
        <f t="shared" si="28"/>
        <v>115921.78364485968</v>
      </c>
      <c r="F66" s="538">
        <f t="shared" si="29"/>
        <v>6.9871198658451679</v>
      </c>
      <c r="G66" s="538">
        <f t="shared" si="30"/>
        <v>6.9871198658451679</v>
      </c>
      <c r="I66"/>
    </row>
    <row r="67" spans="2:9">
      <c r="B67" s="90">
        <v>1986</v>
      </c>
      <c r="C67" s="539">
        <f t="shared" si="27"/>
        <v>1558000</v>
      </c>
      <c r="D67" s="539">
        <f t="shared" si="27"/>
        <v>1386606.0055745668</v>
      </c>
      <c r="E67" s="532">
        <f t="shared" si="28"/>
        <v>171393.99442543322</v>
      </c>
      <c r="F67" s="538">
        <f t="shared" si="29"/>
        <v>12.360684559015221</v>
      </c>
      <c r="G67" s="538">
        <f t="shared" si="30"/>
        <v>12.360684559015221</v>
      </c>
      <c r="I67"/>
    </row>
    <row r="68" spans="2:9">
      <c r="B68" s="90">
        <v>1987</v>
      </c>
      <c r="C68" s="539">
        <f t="shared" si="27"/>
        <v>1658000</v>
      </c>
      <c r="D68" s="539">
        <f t="shared" si="27"/>
        <v>1796881.9938925835</v>
      </c>
      <c r="E68" s="532">
        <f t="shared" si="28"/>
        <v>-138881.99389258353</v>
      </c>
      <c r="F68" s="538">
        <f t="shared" si="29"/>
        <v>-7.7290547940615522</v>
      </c>
      <c r="G68" s="538">
        <f t="shared" si="30"/>
        <v>7.7290547940615522</v>
      </c>
      <c r="I68"/>
    </row>
    <row r="69" spans="2:9">
      <c r="B69" s="90">
        <v>1988</v>
      </c>
      <c r="C69" s="539">
        <f t="shared" si="27"/>
        <v>1379000</v>
      </c>
      <c r="D69" s="539">
        <f t="shared" si="27"/>
        <v>1177899.9759558276</v>
      </c>
      <c r="E69" s="532">
        <f t="shared" si="28"/>
        <v>201100.02404417237</v>
      </c>
      <c r="F69" s="538">
        <f t="shared" si="29"/>
        <v>17.072758990506493</v>
      </c>
      <c r="G69" s="538">
        <f t="shared" si="30"/>
        <v>17.072758990506493</v>
      </c>
      <c r="I69"/>
    </row>
    <row r="70" spans="2:9">
      <c r="B70" s="90">
        <v>1989</v>
      </c>
      <c r="C70" s="539">
        <f t="shared" si="27"/>
        <v>1734000</v>
      </c>
      <c r="D70" s="539">
        <f t="shared" si="27"/>
        <v>1745463.378424929</v>
      </c>
      <c r="E70" s="532">
        <f t="shared" si="28"/>
        <v>-11463.378424928989</v>
      </c>
      <c r="F70" s="538">
        <f t="shared" si="29"/>
        <v>-0.65675273206094475</v>
      </c>
      <c r="G70" s="538">
        <f t="shared" si="30"/>
        <v>0.65675273206094475</v>
      </c>
      <c r="I70"/>
    </row>
    <row r="71" spans="2:9">
      <c r="B71" s="90">
        <v>1990</v>
      </c>
      <c r="C71" s="539">
        <f t="shared" si="27"/>
        <v>1373000</v>
      </c>
      <c r="D71" s="539">
        <f t="shared" si="27"/>
        <v>1586321.0198381976</v>
      </c>
      <c r="E71" s="532">
        <f t="shared" si="28"/>
        <v>-213321.01983819762</v>
      </c>
      <c r="F71" s="538">
        <f t="shared" si="29"/>
        <v>-13.447531563312202</v>
      </c>
      <c r="G71" s="538">
        <f t="shared" si="30"/>
        <v>13.447531563312202</v>
      </c>
      <c r="I71"/>
    </row>
    <row r="72" spans="2:9">
      <c r="B72" s="90">
        <v>1991</v>
      </c>
      <c r="C72" s="539">
        <f t="shared" si="27"/>
        <v>1583000</v>
      </c>
      <c r="D72" s="539">
        <f t="shared" si="27"/>
        <v>1940166.2455192734</v>
      </c>
      <c r="E72" s="532">
        <f t="shared" si="28"/>
        <v>-357166.24551927345</v>
      </c>
      <c r="F72" s="538">
        <f t="shared" si="29"/>
        <v>-18.409053674865895</v>
      </c>
      <c r="G72" s="538">
        <f t="shared" si="30"/>
        <v>18.409053674865895</v>
      </c>
      <c r="I72"/>
    </row>
    <row r="73" spans="2:9">
      <c r="B73" s="90">
        <v>1992</v>
      </c>
      <c r="C73" s="539">
        <f t="shared" si="27"/>
        <v>1754000</v>
      </c>
      <c r="D73" s="539">
        <f t="shared" si="27"/>
        <v>1700543.7818730769</v>
      </c>
      <c r="E73" s="532">
        <f t="shared" si="28"/>
        <v>53456.218126923079</v>
      </c>
      <c r="F73" s="538">
        <f t="shared" si="29"/>
        <v>3.1434779096391932</v>
      </c>
      <c r="G73" s="538">
        <f t="shared" si="30"/>
        <v>3.1434779096391932</v>
      </c>
      <c r="I73"/>
    </row>
    <row r="74" spans="2:9">
      <c r="B74" s="90">
        <v>1993</v>
      </c>
      <c r="C74" s="539">
        <f t="shared" si="27"/>
        <v>1624500</v>
      </c>
      <c r="D74" s="539">
        <f t="shared" si="27"/>
        <v>2302219.1080709202</v>
      </c>
      <c r="E74" s="532">
        <f t="shared" si="28"/>
        <v>-677719.10807092022</v>
      </c>
      <c r="F74" s="538">
        <f t="shared" si="29"/>
        <v>-29.437645865027847</v>
      </c>
      <c r="G74" s="538">
        <f t="shared" si="30"/>
        <v>29.437645865027847</v>
      </c>
      <c r="I74"/>
    </row>
    <row r="75" spans="2:9">
      <c r="B75" s="90">
        <v>1994</v>
      </c>
      <c r="C75" s="539">
        <f t="shared" si="27"/>
        <v>1349100</v>
      </c>
      <c r="D75" s="539">
        <f t="shared" si="27"/>
        <v>2015036.2833961954</v>
      </c>
      <c r="E75" s="532">
        <f t="shared" si="28"/>
        <v>-665936.28339619539</v>
      </c>
      <c r="F75" s="538">
        <f t="shared" si="29"/>
        <v>-33.048351976759882</v>
      </c>
      <c r="G75" s="538">
        <f t="shared" si="30"/>
        <v>33.048351976759882</v>
      </c>
      <c r="I75"/>
    </row>
    <row r="76" spans="2:9">
      <c r="B76" s="90">
        <v>1995</v>
      </c>
      <c r="C76" s="539">
        <f t="shared" si="27"/>
        <v>1650100</v>
      </c>
      <c r="D76" s="539">
        <f t="shared" si="27"/>
        <v>2007566.4214672782</v>
      </c>
      <c r="E76" s="532">
        <f t="shared" si="28"/>
        <v>-357466.42146727815</v>
      </c>
      <c r="F76" s="538">
        <f t="shared" si="29"/>
        <v>-17.805957384265035</v>
      </c>
      <c r="G76" s="538">
        <f t="shared" si="30"/>
        <v>17.805957384265035</v>
      </c>
      <c r="I76"/>
    </row>
    <row r="77" spans="2:9">
      <c r="B77" s="90">
        <v>1996</v>
      </c>
      <c r="C77" s="539">
        <f t="shared" si="27"/>
        <v>2050000</v>
      </c>
      <c r="D77" s="539">
        <f t="shared" si="27"/>
        <v>3341517.3295118865</v>
      </c>
      <c r="E77" s="532">
        <f t="shared" si="28"/>
        <v>-1291517.3295118865</v>
      </c>
      <c r="F77" s="538">
        <f t="shared" si="29"/>
        <v>-38.650624915374756</v>
      </c>
      <c r="G77" s="538">
        <f t="shared" si="30"/>
        <v>38.650624915374756</v>
      </c>
      <c r="I77"/>
    </row>
    <row r="78" spans="2:9">
      <c r="B78" s="90">
        <v>1997</v>
      </c>
      <c r="C78" s="539">
        <f t="shared" si="27"/>
        <v>2234000</v>
      </c>
      <c r="D78" s="539">
        <f t="shared" si="27"/>
        <v>4225244.7069207383</v>
      </c>
      <c r="E78" s="532">
        <f t="shared" si="28"/>
        <v>-1991244.7069207383</v>
      </c>
      <c r="F78" s="538">
        <f t="shared" si="29"/>
        <v>-47.12732267693702</v>
      </c>
      <c r="G78" s="538">
        <f t="shared" si="30"/>
        <v>47.12732267693702</v>
      </c>
      <c r="I78"/>
    </row>
    <row r="79" spans="2:9">
      <c r="B79" s="90">
        <v>1998</v>
      </c>
      <c r="C79" s="539">
        <f t="shared" si="27"/>
        <v>2740000</v>
      </c>
      <c r="D79" s="539">
        <f t="shared" si="27"/>
        <v>2340017.7972266297</v>
      </c>
      <c r="E79" s="532">
        <f t="shared" si="28"/>
        <v>399982.20277337031</v>
      </c>
      <c r="F79" s="538">
        <f t="shared" si="29"/>
        <v>17.093126524397636</v>
      </c>
      <c r="G79" s="538">
        <f t="shared" si="30"/>
        <v>17.093126524397636</v>
      </c>
      <c r="I79"/>
    </row>
    <row r="80" spans="2:9">
      <c r="B80" s="90">
        <v>1999</v>
      </c>
      <c r="C80" s="539">
        <f t="shared" si="27"/>
        <v>2233651.0939117987</v>
      </c>
      <c r="D80" s="539">
        <f t="shared" si="27"/>
        <v>2707194</v>
      </c>
      <c r="E80" s="532">
        <f t="shared" si="28"/>
        <v>-473542.90608820133</v>
      </c>
      <c r="F80" s="538">
        <f t="shared" si="29"/>
        <v>-17.492019636871291</v>
      </c>
      <c r="G80" s="538">
        <f t="shared" si="30"/>
        <v>17.492019636871291</v>
      </c>
      <c r="I80"/>
    </row>
    <row r="81" spans="2:9">
      <c r="B81" s="90">
        <v>2000</v>
      </c>
      <c r="C81" s="539">
        <f t="shared" si="27"/>
        <v>2097000</v>
      </c>
      <c r="D81" s="539">
        <f t="shared" si="27"/>
        <v>1681744</v>
      </c>
      <c r="E81" s="532">
        <f t="shared" si="28"/>
        <v>415256</v>
      </c>
      <c r="F81" s="538">
        <f t="shared" ref="F81:F86" si="31">E81/D81*100</f>
        <v>24.691986414103454</v>
      </c>
      <c r="G81" s="538">
        <f t="shared" si="30"/>
        <v>24.691986414103454</v>
      </c>
      <c r="I81"/>
    </row>
    <row r="82" spans="2:9">
      <c r="B82" s="90">
        <v>2001</v>
      </c>
      <c r="C82" s="539">
        <f t="shared" si="27"/>
        <v>1464735.8027802664</v>
      </c>
      <c r="D82" s="539">
        <f t="shared" si="27"/>
        <v>2311586</v>
      </c>
      <c r="E82" s="532">
        <f t="shared" si="28"/>
        <v>-846850.19721973361</v>
      </c>
      <c r="F82" s="538">
        <f t="shared" si="31"/>
        <v>-36.635028816567221</v>
      </c>
      <c r="G82" s="538">
        <f t="shared" si="30"/>
        <v>36.635028816567221</v>
      </c>
      <c r="I82"/>
    </row>
    <row r="83" spans="2:9">
      <c r="B83" s="90">
        <v>2002</v>
      </c>
      <c r="C83" s="539">
        <f t="shared" si="27"/>
        <v>1617150.6293003059</v>
      </c>
      <c r="D83" s="539">
        <f t="shared" si="27"/>
        <v>2202985</v>
      </c>
      <c r="E83" s="532">
        <f t="shared" si="28"/>
        <v>-585834.37069969415</v>
      </c>
      <c r="F83" s="538">
        <f t="shared" si="31"/>
        <v>-26.592753500350398</v>
      </c>
      <c r="G83" s="538">
        <f>ABS(F83)</f>
        <v>26.592753500350398</v>
      </c>
      <c r="I83"/>
    </row>
    <row r="84" spans="2:9">
      <c r="B84" s="90">
        <v>2003</v>
      </c>
      <c r="C84" s="539">
        <f t="shared" si="27"/>
        <v>2016409</v>
      </c>
      <c r="D84" s="539">
        <f t="shared" si="27"/>
        <v>2046646</v>
      </c>
      <c r="E84" s="532">
        <f t="shared" si="28"/>
        <v>-30237</v>
      </c>
      <c r="F84" s="538">
        <f t="shared" si="31"/>
        <v>-1.4773927684611798</v>
      </c>
      <c r="G84" s="538">
        <f t="shared" si="30"/>
        <v>1.4773927684611798</v>
      </c>
      <c r="I84"/>
    </row>
    <row r="85" spans="2:9">
      <c r="B85" s="90">
        <v>2004</v>
      </c>
      <c r="C85" s="539">
        <f t="shared" si="27"/>
        <v>1640952.1662908648</v>
      </c>
      <c r="D85" s="539">
        <f t="shared" si="27"/>
        <v>1833209</v>
      </c>
      <c r="E85" s="532">
        <f t="shared" si="28"/>
        <v>-192256.83370913519</v>
      </c>
      <c r="F85" s="538">
        <f t="shared" si="31"/>
        <v>-10.487447623764403</v>
      </c>
      <c r="G85" s="538">
        <f t="shared" si="30"/>
        <v>10.487447623764403</v>
      </c>
      <c r="I85"/>
    </row>
    <row r="86" spans="2:9">
      <c r="B86" s="90">
        <v>2005</v>
      </c>
      <c r="C86" s="539">
        <f t="shared" si="27"/>
        <v>2153684.8606076902</v>
      </c>
      <c r="D86" s="539">
        <f t="shared" si="27"/>
        <v>2279144.300560507</v>
      </c>
      <c r="E86" s="532">
        <f t="shared" ref="E86:E91" si="32">C86-D86</f>
        <v>-125459.43995281681</v>
      </c>
      <c r="F86" s="538">
        <f t="shared" si="31"/>
        <v>-5.5046729565110351</v>
      </c>
      <c r="G86" s="538">
        <f t="shared" si="30"/>
        <v>5.5046729565110351</v>
      </c>
      <c r="I86"/>
    </row>
    <row r="87" spans="2:9">
      <c r="B87" s="90">
        <v>2006</v>
      </c>
      <c r="C87" s="539">
        <f t="shared" si="27"/>
        <v>1868000</v>
      </c>
      <c r="D87" s="539">
        <f t="shared" si="27"/>
        <v>2594388</v>
      </c>
      <c r="E87" s="532">
        <f t="shared" si="32"/>
        <v>-726388</v>
      </c>
      <c r="F87" s="538">
        <f t="shared" ref="F87:F92" si="33">E87/D87*100</f>
        <v>-27.998433541937445</v>
      </c>
      <c r="G87" s="538">
        <f t="shared" si="30"/>
        <v>27.998433541937445</v>
      </c>
      <c r="I87"/>
    </row>
    <row r="88" spans="2:9">
      <c r="B88" s="90">
        <v>2007</v>
      </c>
      <c r="C88" s="539">
        <f t="shared" si="27"/>
        <v>1956189.4113262331</v>
      </c>
      <c r="D88" s="539">
        <f t="shared" si="27"/>
        <v>2962986</v>
      </c>
      <c r="E88" s="532">
        <f t="shared" si="32"/>
        <v>-1006796.5886737669</v>
      </c>
      <c r="F88" s="538">
        <f t="shared" si="33"/>
        <v>-33.979120680076349</v>
      </c>
      <c r="G88" s="538">
        <f t="shared" si="30"/>
        <v>33.979120680076349</v>
      </c>
      <c r="I88"/>
    </row>
    <row r="89" spans="2:9">
      <c r="B89" s="90">
        <v>2008</v>
      </c>
      <c r="C89" s="539">
        <f t="shared" si="27"/>
        <v>1573736</v>
      </c>
      <c r="D89" s="539">
        <f t="shared" si="27"/>
        <v>1142115</v>
      </c>
      <c r="E89" s="532">
        <f t="shared" si="32"/>
        <v>431621</v>
      </c>
      <c r="F89" s="538">
        <f t="shared" si="33"/>
        <v>37.791378276268148</v>
      </c>
      <c r="G89" s="538">
        <f t="shared" si="30"/>
        <v>37.791378276268148</v>
      </c>
      <c r="I89"/>
    </row>
    <row r="90" spans="2:9">
      <c r="B90" s="90">
        <v>2009</v>
      </c>
      <c r="C90" s="539">
        <f t="shared" si="27"/>
        <v>1332223.0135347254</v>
      </c>
      <c r="D90" s="539">
        <f t="shared" si="27"/>
        <v>1725677</v>
      </c>
      <c r="E90" s="532">
        <f t="shared" si="32"/>
        <v>-393453.98646527459</v>
      </c>
      <c r="F90" s="538">
        <f t="shared" si="33"/>
        <v>-22.799978586101258</v>
      </c>
      <c r="G90" s="538">
        <f t="shared" si="30"/>
        <v>22.799978586101258</v>
      </c>
      <c r="I90"/>
    </row>
    <row r="91" spans="2:9">
      <c r="B91" s="90">
        <v>2010</v>
      </c>
      <c r="C91" s="539">
        <f t="shared" si="27"/>
        <v>2174017.7377385828</v>
      </c>
      <c r="D91" s="539">
        <f t="shared" si="27"/>
        <v>1720439</v>
      </c>
      <c r="E91" s="532">
        <f t="shared" si="32"/>
        <v>453578.73773858277</v>
      </c>
      <c r="F91" s="538">
        <f t="shared" si="33"/>
        <v>26.364127861469239</v>
      </c>
      <c r="G91" s="538">
        <f t="shared" ref="G91" si="34">ABS(F91)</f>
        <v>26.364127861469239</v>
      </c>
      <c r="I91"/>
    </row>
    <row r="92" spans="2:9">
      <c r="B92" s="90">
        <v>2011</v>
      </c>
      <c r="C92" s="539">
        <f t="shared" si="27"/>
        <v>2007841.8306324906</v>
      </c>
      <c r="D92" s="539">
        <f t="shared" si="27"/>
        <v>3105686</v>
      </c>
      <c r="E92" s="532">
        <f t="shared" ref="E92:E93" si="35">C92-D92</f>
        <v>-1097844.1693675094</v>
      </c>
      <c r="F92" s="538">
        <f t="shared" si="33"/>
        <v>-35.349490237181399</v>
      </c>
      <c r="G92" s="538">
        <f t="shared" ref="G92" si="36">ABS(F92)</f>
        <v>35.349490237181399</v>
      </c>
      <c r="I92"/>
    </row>
    <row r="93" spans="2:9">
      <c r="B93" s="90">
        <v>2012</v>
      </c>
      <c r="C93" s="539">
        <f t="shared" si="27"/>
        <v>2145174</v>
      </c>
      <c r="D93" s="539">
        <f t="shared" si="27"/>
        <v>3275588</v>
      </c>
      <c r="E93" s="532">
        <f t="shared" si="35"/>
        <v>-1130414</v>
      </c>
      <c r="F93" s="538">
        <f t="shared" ref="F93" si="37">E93/D93*100</f>
        <v>-34.510261974338654</v>
      </c>
      <c r="G93" s="538">
        <f t="shared" ref="G93" si="38">ABS(F93)</f>
        <v>34.510261974338654</v>
      </c>
      <c r="I93"/>
    </row>
    <row r="94" spans="2:9">
      <c r="B94" s="90">
        <v>2013</v>
      </c>
      <c r="C94" s="539">
        <f t="shared" si="27"/>
        <v>2241231.1650385</v>
      </c>
      <c r="D94" s="539">
        <f t="shared" si="27"/>
        <v>3008925</v>
      </c>
      <c r="E94" s="532">
        <f t="shared" ref="E94:E95" si="39">C94-D94</f>
        <v>-767693.83496150002</v>
      </c>
      <c r="F94" s="538">
        <f t="shared" ref="F94:F95" si="40">E94/D94*100</f>
        <v>-25.51389067396163</v>
      </c>
      <c r="G94" s="538">
        <f t="shared" ref="G94:G95" si="41">ABS(F94)</f>
        <v>25.51389067396163</v>
      </c>
      <c r="I94"/>
    </row>
    <row r="95" spans="2:9">
      <c r="B95" s="90">
        <v>2014</v>
      </c>
      <c r="C95" s="539">
        <f t="shared" si="27"/>
        <v>2595097.8273703028</v>
      </c>
      <c r="D95" s="539">
        <f t="shared" si="27"/>
        <v>3313890.1025</v>
      </c>
      <c r="E95" s="532">
        <f t="shared" si="39"/>
        <v>-718792.27512969729</v>
      </c>
      <c r="F95" s="538">
        <f t="shared" si="40"/>
        <v>-21.69028703116739</v>
      </c>
      <c r="G95" s="538">
        <f t="shared" si="41"/>
        <v>21.69028703116739</v>
      </c>
      <c r="I95"/>
    </row>
    <row r="96" spans="2:9">
      <c r="B96" s="90">
        <v>2015</v>
      </c>
      <c r="I96"/>
    </row>
    <row r="97" spans="1:9">
      <c r="I97"/>
    </row>
    <row r="98" spans="1:9" ht="15.75">
      <c r="F98" s="691" t="s">
        <v>330</v>
      </c>
      <c r="I98"/>
    </row>
    <row r="99" spans="1:9">
      <c r="B99" s="679"/>
      <c r="C99" s="680"/>
      <c r="D99" s="679"/>
      <c r="E99" s="698" t="s">
        <v>622</v>
      </c>
      <c r="F99" s="692" t="s">
        <v>400</v>
      </c>
      <c r="G99" s="693">
        <f>AVERAGE(G91:G95)</f>
        <v>28.685611555623659</v>
      </c>
      <c r="I99"/>
    </row>
    <row r="100" spans="1:9">
      <c r="B100" s="646"/>
      <c r="C100" s="546"/>
      <c r="D100" s="546" t="s">
        <v>404</v>
      </c>
      <c r="E100" s="695" t="s">
        <v>623</v>
      </c>
      <c r="F100" s="689" t="s">
        <v>401</v>
      </c>
      <c r="G100" s="687">
        <f>AVERAGE(G86:G95)</f>
        <v>27.15016418190125</v>
      </c>
    </row>
    <row r="101" spans="1:9">
      <c r="B101" s="646"/>
      <c r="C101" s="546"/>
      <c r="D101" s="646"/>
      <c r="E101" s="696" t="s">
        <v>624</v>
      </c>
      <c r="F101" s="689" t="s">
        <v>402</v>
      </c>
      <c r="G101" s="687">
        <f>AVERAGE(G76:G95)</f>
        <v>25.477765104005243</v>
      </c>
    </row>
    <row r="102" spans="1:9">
      <c r="B102" s="699"/>
      <c r="C102" s="684"/>
      <c r="D102" s="699"/>
      <c r="E102" s="700" t="s">
        <v>625</v>
      </c>
      <c r="F102" s="690" t="s">
        <v>403</v>
      </c>
      <c r="G102" s="694">
        <f>AVERAGE(G71:G95)</f>
        <v>24.281654522788401</v>
      </c>
    </row>
    <row r="103" spans="1:9">
      <c r="E103" s="689"/>
      <c r="F103" s="697"/>
      <c r="G103" s="688"/>
    </row>
    <row r="104" spans="1:9">
      <c r="D104" s="968" t="s">
        <v>542</v>
      </c>
      <c r="E104" s="968" t="s">
        <v>543</v>
      </c>
      <c r="F104" s="538">
        <f>MIN(F86:F95)</f>
        <v>-35.349490237181399</v>
      </c>
      <c r="G104" s="689"/>
    </row>
    <row r="105" spans="1:9">
      <c r="D105" s="72"/>
      <c r="E105" s="968" t="s">
        <v>544</v>
      </c>
      <c r="F105" s="538">
        <f>MAX(F86:F95)</f>
        <v>37.791378276268148</v>
      </c>
      <c r="G105" s="90"/>
    </row>
    <row r="106" spans="1:9" ht="15.75">
      <c r="A106" s="679"/>
      <c r="B106" s="679"/>
      <c r="C106" s="685" t="s">
        <v>106</v>
      </c>
      <c r="D106" s="686"/>
      <c r="E106" s="546"/>
      <c r="F106" s="646"/>
      <c r="G106" s="682" t="s">
        <v>329</v>
      </c>
    </row>
    <row r="107" spans="1:9">
      <c r="A107" s="683" t="s">
        <v>110</v>
      </c>
      <c r="B107" s="683" t="s">
        <v>27</v>
      </c>
      <c r="C107" s="684" t="s">
        <v>111</v>
      </c>
      <c r="D107" s="684" t="s">
        <v>112</v>
      </c>
      <c r="E107" s="684" t="s">
        <v>107</v>
      </c>
      <c r="F107" s="683" t="s">
        <v>304</v>
      </c>
      <c r="G107" s="683" t="s">
        <v>348</v>
      </c>
    </row>
    <row r="108" spans="1:9">
      <c r="A108" s="70" t="s">
        <v>116</v>
      </c>
      <c r="B108" s="90">
        <v>1983</v>
      </c>
      <c r="C108" s="539">
        <f t="shared" ref="C108:C138" si="42">I9</f>
        <v>672000</v>
      </c>
      <c r="D108" s="539">
        <f t="shared" ref="D108:D138" si="43">J9</f>
        <v>626735</v>
      </c>
      <c r="E108" s="532">
        <f>C108-D108</f>
        <v>45265</v>
      </c>
      <c r="F108" s="538">
        <f>E108/D108*100</f>
        <v>7.2223507543060466</v>
      </c>
      <c r="G108" s="538">
        <f>ABS(F108)</f>
        <v>7.2223507543060466</v>
      </c>
    </row>
    <row r="109" spans="1:9">
      <c r="B109" s="90">
        <v>1984</v>
      </c>
      <c r="C109" s="539">
        <f t="shared" si="42"/>
        <v>701000</v>
      </c>
      <c r="D109" s="539">
        <f t="shared" si="43"/>
        <v>900043</v>
      </c>
      <c r="E109" s="532">
        <f t="shared" ref="E109:E129" si="44">C109-D109</f>
        <v>-199043</v>
      </c>
      <c r="F109" s="538">
        <f t="shared" ref="F109:F130" si="45">E109/D109*100</f>
        <v>-22.11483229134608</v>
      </c>
      <c r="G109" s="538">
        <f t="shared" ref="G109:G134" si="46">ABS(F109)</f>
        <v>22.11483229134608</v>
      </c>
    </row>
    <row r="110" spans="1:9">
      <c r="B110" s="90">
        <v>1985</v>
      </c>
      <c r="C110" s="539">
        <f t="shared" si="42"/>
        <v>1200000</v>
      </c>
      <c r="D110" s="539">
        <f t="shared" si="43"/>
        <v>927763</v>
      </c>
      <c r="E110" s="532">
        <f t="shared" si="44"/>
        <v>272237</v>
      </c>
      <c r="F110" s="538">
        <f t="shared" si="45"/>
        <v>29.343377565175587</v>
      </c>
      <c r="G110" s="538">
        <f t="shared" si="46"/>
        <v>29.343377565175587</v>
      </c>
    </row>
    <row r="111" spans="1:9">
      <c r="B111" s="90">
        <v>1986</v>
      </c>
      <c r="C111" s="539">
        <f t="shared" si="42"/>
        <v>854000</v>
      </c>
      <c r="D111" s="539">
        <f t="shared" si="43"/>
        <v>780470</v>
      </c>
      <c r="E111" s="532">
        <f t="shared" si="44"/>
        <v>73530</v>
      </c>
      <c r="F111" s="538">
        <f t="shared" si="45"/>
        <v>9.4212461721783036</v>
      </c>
      <c r="G111" s="538">
        <f t="shared" si="46"/>
        <v>9.4212461721783036</v>
      </c>
    </row>
    <row r="112" spans="1:9">
      <c r="B112" s="90">
        <v>1987</v>
      </c>
      <c r="C112" s="539">
        <f t="shared" si="42"/>
        <v>937000</v>
      </c>
      <c r="D112" s="539">
        <f t="shared" si="43"/>
        <v>1180828</v>
      </c>
      <c r="E112" s="532">
        <f t="shared" si="44"/>
        <v>-243828</v>
      </c>
      <c r="F112" s="538">
        <f t="shared" si="45"/>
        <v>-20.648900601950494</v>
      </c>
      <c r="G112" s="538">
        <f t="shared" si="46"/>
        <v>20.648900601950494</v>
      </c>
    </row>
    <row r="113" spans="2:7">
      <c r="B113" s="90">
        <v>1988</v>
      </c>
      <c r="C113" s="539">
        <f t="shared" si="42"/>
        <v>701000</v>
      </c>
      <c r="D113" s="539">
        <f t="shared" si="43"/>
        <v>577206</v>
      </c>
      <c r="E113" s="532">
        <f t="shared" si="44"/>
        <v>123794</v>
      </c>
      <c r="F113" s="538">
        <f t="shared" si="45"/>
        <v>21.447109004410901</v>
      </c>
      <c r="G113" s="538">
        <f t="shared" si="46"/>
        <v>21.447109004410901</v>
      </c>
    </row>
    <row r="114" spans="2:7">
      <c r="B114" s="90">
        <v>1989</v>
      </c>
      <c r="C114" s="539">
        <f t="shared" si="42"/>
        <v>972000</v>
      </c>
      <c r="D114" s="539">
        <f t="shared" si="43"/>
        <v>1026073</v>
      </c>
      <c r="E114" s="532">
        <f t="shared" si="44"/>
        <v>-54073</v>
      </c>
      <c r="F114" s="538">
        <f t="shared" si="45"/>
        <v>-5.2698979507306012</v>
      </c>
      <c r="G114" s="538">
        <f t="shared" si="46"/>
        <v>5.2698979507306012</v>
      </c>
    </row>
    <row r="115" spans="2:7">
      <c r="B115" s="90">
        <v>1990</v>
      </c>
      <c r="C115" s="539">
        <f t="shared" si="42"/>
        <v>658000</v>
      </c>
      <c r="D115" s="539">
        <f t="shared" si="43"/>
        <v>845486</v>
      </c>
      <c r="E115" s="532">
        <f t="shared" si="44"/>
        <v>-187486</v>
      </c>
      <c r="F115" s="538">
        <f t="shared" si="45"/>
        <v>-22.174938437774252</v>
      </c>
      <c r="G115" s="538">
        <f t="shared" si="46"/>
        <v>22.174938437774252</v>
      </c>
    </row>
    <row r="116" spans="2:7">
      <c r="B116" s="90">
        <v>1991</v>
      </c>
      <c r="C116" s="539">
        <f t="shared" si="42"/>
        <v>869000</v>
      </c>
      <c r="D116" s="539">
        <f t="shared" si="43"/>
        <v>1207044</v>
      </c>
      <c r="E116" s="532">
        <f t="shared" si="44"/>
        <v>-338044</v>
      </c>
      <c r="F116" s="538">
        <f t="shared" si="45"/>
        <v>-28.00593847448809</v>
      </c>
      <c r="G116" s="538">
        <f t="shared" si="46"/>
        <v>28.00593847448809</v>
      </c>
    </row>
    <row r="117" spans="2:7">
      <c r="B117" s="90">
        <v>1992</v>
      </c>
      <c r="C117" s="539">
        <f t="shared" si="42"/>
        <v>960000</v>
      </c>
      <c r="D117" s="539">
        <f t="shared" si="43"/>
        <v>970959</v>
      </c>
      <c r="E117" s="532">
        <f t="shared" si="44"/>
        <v>-10959</v>
      </c>
      <c r="F117" s="538">
        <f t="shared" si="45"/>
        <v>-1.1286779359375627</v>
      </c>
      <c r="G117" s="538">
        <f t="shared" si="46"/>
        <v>1.1286779359375627</v>
      </c>
    </row>
    <row r="118" spans="2:7">
      <c r="B118" s="90">
        <v>1993</v>
      </c>
      <c r="C118" s="539">
        <f t="shared" si="42"/>
        <v>920000</v>
      </c>
      <c r="D118" s="539">
        <f t="shared" si="43"/>
        <v>1398416</v>
      </c>
      <c r="E118" s="532">
        <f t="shared" si="44"/>
        <v>-478416</v>
      </c>
      <c r="F118" s="538">
        <f t="shared" si="45"/>
        <v>-34.211279047150491</v>
      </c>
      <c r="G118" s="538">
        <f t="shared" si="46"/>
        <v>34.211279047150491</v>
      </c>
    </row>
    <row r="119" spans="2:7">
      <c r="B119" s="90">
        <v>1994</v>
      </c>
      <c r="C119" s="539">
        <f t="shared" si="42"/>
        <v>685000</v>
      </c>
      <c r="D119" s="539">
        <f t="shared" si="43"/>
        <v>1154116</v>
      </c>
      <c r="E119" s="532">
        <f t="shared" si="44"/>
        <v>-469116</v>
      </c>
      <c r="F119" s="538">
        <f t="shared" si="45"/>
        <v>-40.647213971559189</v>
      </c>
      <c r="G119" s="538">
        <f t="shared" si="46"/>
        <v>40.647213971559189</v>
      </c>
    </row>
    <row r="120" spans="2:7">
      <c r="B120" s="90">
        <v>1995</v>
      </c>
      <c r="C120" s="539">
        <f t="shared" si="42"/>
        <v>1061000</v>
      </c>
      <c r="D120" s="539">
        <f t="shared" si="43"/>
        <v>1271822</v>
      </c>
      <c r="E120" s="532">
        <f t="shared" si="44"/>
        <v>-210822</v>
      </c>
      <c r="F120" s="538">
        <f t="shared" si="45"/>
        <v>-16.576376253909743</v>
      </c>
      <c r="G120" s="538">
        <f t="shared" si="46"/>
        <v>16.576376253909743</v>
      </c>
    </row>
    <row r="121" spans="2:7">
      <c r="B121" s="90">
        <v>1996</v>
      </c>
      <c r="C121" s="539">
        <f t="shared" si="42"/>
        <v>1278000</v>
      </c>
      <c r="D121" s="539">
        <f t="shared" si="43"/>
        <v>2356980</v>
      </c>
      <c r="E121" s="532">
        <f t="shared" si="44"/>
        <v>-1078980</v>
      </c>
      <c r="F121" s="538">
        <f t="shared" si="45"/>
        <v>-45.778071939515819</v>
      </c>
      <c r="G121" s="538">
        <f t="shared" si="46"/>
        <v>45.778071939515819</v>
      </c>
    </row>
    <row r="122" spans="2:7">
      <c r="B122" s="90">
        <v>1997</v>
      </c>
      <c r="C122" s="539">
        <f t="shared" si="42"/>
        <v>1564000</v>
      </c>
      <c r="D122" s="539">
        <f t="shared" si="43"/>
        <v>2956086</v>
      </c>
      <c r="E122" s="532">
        <f t="shared" si="44"/>
        <v>-1392086</v>
      </c>
      <c r="F122" s="538">
        <f t="shared" si="45"/>
        <v>-47.092202324289616</v>
      </c>
      <c r="G122" s="538">
        <f t="shared" si="46"/>
        <v>47.092202324289616</v>
      </c>
    </row>
    <row r="123" spans="2:7">
      <c r="B123" s="90">
        <v>1998</v>
      </c>
      <c r="C123" s="539">
        <f t="shared" si="42"/>
        <v>1988000</v>
      </c>
      <c r="D123" s="539">
        <f t="shared" si="43"/>
        <v>1344746</v>
      </c>
      <c r="E123" s="532">
        <f t="shared" si="44"/>
        <v>643254</v>
      </c>
      <c r="F123" s="538">
        <f t="shared" si="45"/>
        <v>47.834609658626981</v>
      </c>
      <c r="G123" s="538">
        <f t="shared" si="46"/>
        <v>47.834609658626981</v>
      </c>
    </row>
    <row r="124" spans="2:7">
      <c r="B124" s="90">
        <v>1999</v>
      </c>
      <c r="C124" s="539">
        <f t="shared" si="42"/>
        <v>1250000</v>
      </c>
      <c r="D124" s="539">
        <f t="shared" si="43"/>
        <v>1686217</v>
      </c>
      <c r="E124" s="532">
        <f t="shared" si="44"/>
        <v>-436217</v>
      </c>
      <c r="F124" s="538">
        <f t="shared" si="45"/>
        <v>-25.869564830623816</v>
      </c>
      <c r="G124" s="538">
        <f t="shared" si="46"/>
        <v>25.869564830623816</v>
      </c>
    </row>
    <row r="125" spans="2:7">
      <c r="B125" s="90">
        <v>2000</v>
      </c>
      <c r="C125" s="539">
        <f t="shared" si="42"/>
        <v>1106029.5686614765</v>
      </c>
      <c r="D125" s="539">
        <f t="shared" si="43"/>
        <v>882505</v>
      </c>
      <c r="E125" s="532">
        <f t="shared" si="44"/>
        <v>223524.56866147649</v>
      </c>
      <c r="F125" s="538">
        <f t="shared" si="45"/>
        <v>25.328419517337181</v>
      </c>
      <c r="G125" s="538">
        <f t="shared" si="46"/>
        <v>25.328419517337181</v>
      </c>
    </row>
    <row r="126" spans="2:7">
      <c r="B126" s="90">
        <v>2001</v>
      </c>
      <c r="C126" s="539">
        <f t="shared" si="42"/>
        <v>644223</v>
      </c>
      <c r="D126" s="539">
        <f t="shared" si="43"/>
        <v>1327957</v>
      </c>
      <c r="E126" s="532">
        <f t="shared" si="44"/>
        <v>-683734</v>
      </c>
      <c r="F126" s="538">
        <f t="shared" si="45"/>
        <v>-51.487661121557402</v>
      </c>
      <c r="G126" s="538">
        <f t="shared" si="46"/>
        <v>51.487661121557402</v>
      </c>
    </row>
    <row r="127" spans="2:7">
      <c r="B127" s="90">
        <v>2002</v>
      </c>
      <c r="C127" s="539">
        <f t="shared" si="42"/>
        <v>803462.52658779139</v>
      </c>
      <c r="D127" s="539">
        <f t="shared" si="43"/>
        <v>1251023</v>
      </c>
      <c r="E127" s="532">
        <f t="shared" si="44"/>
        <v>-447560.47341220861</v>
      </c>
      <c r="F127" s="538">
        <f t="shared" si="45"/>
        <v>-35.775559155363936</v>
      </c>
      <c r="G127" s="538">
        <f>ABS(F127)</f>
        <v>35.775559155363936</v>
      </c>
    </row>
    <row r="128" spans="2:7">
      <c r="B128" s="90">
        <v>2003</v>
      </c>
      <c r="C128" s="539">
        <f t="shared" si="42"/>
        <v>1160698</v>
      </c>
      <c r="D128" s="539">
        <f t="shared" si="43"/>
        <v>1196422</v>
      </c>
      <c r="E128" s="532">
        <f t="shared" si="44"/>
        <v>-35724</v>
      </c>
      <c r="F128" s="538">
        <f t="shared" si="45"/>
        <v>-2.9859029673476414</v>
      </c>
      <c r="G128" s="538">
        <f t="shared" si="46"/>
        <v>2.9859029673476414</v>
      </c>
    </row>
    <row r="129" spans="2:8">
      <c r="B129" s="90">
        <v>2004</v>
      </c>
      <c r="C129" s="539">
        <f t="shared" si="42"/>
        <v>884783.34807392093</v>
      </c>
      <c r="D129" s="539">
        <f t="shared" si="43"/>
        <v>1049128</v>
      </c>
      <c r="E129" s="532">
        <f t="shared" si="44"/>
        <v>-164344.65192607907</v>
      </c>
      <c r="F129" s="538">
        <f t="shared" si="45"/>
        <v>-15.664880922640428</v>
      </c>
      <c r="G129" s="538">
        <f t="shared" si="46"/>
        <v>15.664880922640428</v>
      </c>
    </row>
    <row r="130" spans="2:8">
      <c r="B130" s="90">
        <v>2005</v>
      </c>
      <c r="C130" s="539">
        <f t="shared" si="42"/>
        <v>1350826.2937092972</v>
      </c>
      <c r="D130" s="539">
        <f t="shared" si="43"/>
        <v>1336763</v>
      </c>
      <c r="E130" s="532">
        <f t="shared" ref="E130:E135" si="47">C130-D130</f>
        <v>14063.293709297199</v>
      </c>
      <c r="F130" s="538">
        <f t="shared" si="45"/>
        <v>1.0520409159512345</v>
      </c>
      <c r="G130" s="538">
        <f t="shared" si="46"/>
        <v>1.0520409159512345</v>
      </c>
    </row>
    <row r="131" spans="2:8">
      <c r="B131" s="90">
        <v>2006</v>
      </c>
      <c r="C131" s="539">
        <f t="shared" si="42"/>
        <v>1007402</v>
      </c>
      <c r="D131" s="539">
        <f t="shared" si="43"/>
        <v>1500303</v>
      </c>
      <c r="E131" s="532">
        <f t="shared" si="47"/>
        <v>-492901</v>
      </c>
      <c r="F131" s="538">
        <f t="shared" ref="F131:F136" si="48">E131/D131*100</f>
        <v>-32.853430273751364</v>
      </c>
      <c r="G131" s="538">
        <f t="shared" si="46"/>
        <v>32.853430273751364</v>
      </c>
    </row>
    <row r="132" spans="2:8">
      <c r="B132" s="90">
        <v>2007</v>
      </c>
      <c r="C132" s="539">
        <f t="shared" si="42"/>
        <v>1157093.2195347864</v>
      </c>
      <c r="D132" s="539">
        <f t="shared" si="43"/>
        <v>1906951</v>
      </c>
      <c r="E132" s="532">
        <f t="shared" si="47"/>
        <v>-749857.78046521358</v>
      </c>
      <c r="F132" s="538">
        <f t="shared" si="48"/>
        <v>-39.322341290636913</v>
      </c>
      <c r="G132" s="538">
        <f t="shared" si="46"/>
        <v>39.322341290636913</v>
      </c>
      <c r="H132" s="646"/>
    </row>
    <row r="133" spans="2:8">
      <c r="B133" s="90">
        <v>2008</v>
      </c>
      <c r="C133" s="539">
        <f t="shared" si="42"/>
        <v>742166</v>
      </c>
      <c r="D133" s="539">
        <f t="shared" si="43"/>
        <v>325236</v>
      </c>
      <c r="E133" s="532">
        <f t="shared" si="47"/>
        <v>416930</v>
      </c>
      <c r="F133" s="538">
        <f t="shared" si="48"/>
        <v>128.19306595825802</v>
      </c>
      <c r="G133" s="538">
        <f t="shared" si="46"/>
        <v>128.19306595825802</v>
      </c>
      <c r="H133" s="646"/>
    </row>
    <row r="134" spans="2:8">
      <c r="B134" s="90">
        <v>2009</v>
      </c>
      <c r="C134" s="539">
        <f t="shared" si="42"/>
        <v>509588.01877641072</v>
      </c>
      <c r="D134" s="539">
        <f t="shared" si="43"/>
        <v>909566</v>
      </c>
      <c r="E134" s="532">
        <f t="shared" si="47"/>
        <v>-399977.98122358928</v>
      </c>
      <c r="F134" s="538">
        <f t="shared" si="48"/>
        <v>-43.974596810301762</v>
      </c>
      <c r="G134" s="538">
        <f t="shared" si="46"/>
        <v>43.974596810301762</v>
      </c>
      <c r="H134" s="646"/>
    </row>
    <row r="135" spans="2:8">
      <c r="B135" s="90">
        <v>2010</v>
      </c>
      <c r="C135" s="539">
        <f t="shared" si="42"/>
        <v>1269773.4915194036</v>
      </c>
      <c r="D135" s="539">
        <f t="shared" si="43"/>
        <v>650373</v>
      </c>
      <c r="E135" s="532">
        <f t="shared" si="47"/>
        <v>619400.49151940364</v>
      </c>
      <c r="F135" s="538">
        <f t="shared" si="48"/>
        <v>95.23773150475246</v>
      </c>
      <c r="G135" s="538">
        <f t="shared" ref="G135" si="49">ABS(F135)</f>
        <v>95.23773150475246</v>
      </c>
      <c r="H135" s="646"/>
    </row>
    <row r="136" spans="2:8">
      <c r="B136" s="90">
        <v>2011</v>
      </c>
      <c r="C136" s="539">
        <f t="shared" si="42"/>
        <v>1180239.8594942866</v>
      </c>
      <c r="D136" s="539">
        <f t="shared" si="43"/>
        <v>2070572</v>
      </c>
      <c r="E136" s="532">
        <f t="shared" ref="E136" si="50">C136-D136</f>
        <v>-890332.14050571341</v>
      </c>
      <c r="F136" s="538">
        <f t="shared" si="48"/>
        <v>-42.999332576008634</v>
      </c>
      <c r="G136" s="538">
        <f t="shared" ref="G136" si="51">ABS(F136)</f>
        <v>42.999332576008634</v>
      </c>
    </row>
    <row r="137" spans="2:8">
      <c r="B137" s="90">
        <v>2012</v>
      </c>
      <c r="C137" s="539">
        <f t="shared" si="42"/>
        <v>1229983</v>
      </c>
      <c r="D137" s="539">
        <f t="shared" si="43"/>
        <v>1875348</v>
      </c>
      <c r="E137" s="532">
        <f t="shared" ref="E137" si="52">C137-D137</f>
        <v>-645365</v>
      </c>
      <c r="F137" s="538">
        <f t="shared" ref="F137" si="53">E137/D137*100</f>
        <v>-34.413079599093081</v>
      </c>
      <c r="G137" s="538">
        <f t="shared" ref="G137" si="54">ABS(F137)</f>
        <v>34.413079599093081</v>
      </c>
    </row>
    <row r="138" spans="2:8">
      <c r="B138" s="90">
        <v>2013</v>
      </c>
      <c r="C138" s="539">
        <f t="shared" si="42"/>
        <v>1300875.8436068504</v>
      </c>
      <c r="D138" s="539">
        <f t="shared" si="43"/>
        <v>1621667</v>
      </c>
      <c r="E138" s="532">
        <f t="shared" ref="E138:E139" si="55">C138-D138</f>
        <v>-320791.15639314963</v>
      </c>
      <c r="F138" s="538">
        <f t="shared" ref="F138:F139" si="56">E138/D138*100</f>
        <v>-19.781567756706504</v>
      </c>
      <c r="G138" s="538">
        <f t="shared" ref="G138:G139" si="57">ABS(F138)</f>
        <v>19.781567756706504</v>
      </c>
    </row>
    <row r="139" spans="2:8">
      <c r="B139" s="90">
        <v>2014</v>
      </c>
      <c r="C139" s="539">
        <f t="shared" ref="C139:D139" si="58">I40</f>
        <v>1599229.4800910801</v>
      </c>
      <c r="D139" s="539">
        <f t="shared" si="58"/>
        <v>1977357.1025</v>
      </c>
      <c r="E139" s="532">
        <f t="shared" si="55"/>
        <v>-378127.62240891997</v>
      </c>
      <c r="F139" s="538">
        <f t="shared" si="56"/>
        <v>-19.122879824329551</v>
      </c>
      <c r="G139" s="538">
        <f t="shared" si="57"/>
        <v>19.122879824329551</v>
      </c>
    </row>
    <row r="140" spans="2:8">
      <c r="B140" s="90">
        <v>2015</v>
      </c>
    </row>
    <row r="142" spans="2:8" ht="15.75">
      <c r="F142" s="691" t="s">
        <v>330</v>
      </c>
    </row>
    <row r="143" spans="2:8">
      <c r="B143" s="679"/>
      <c r="C143" s="680"/>
      <c r="D143" s="679"/>
      <c r="E143" s="698" t="s">
        <v>622</v>
      </c>
      <c r="F143" s="692" t="s">
        <v>400</v>
      </c>
      <c r="G143" s="693">
        <f>AVERAGE(G135:G139)</f>
        <v>42.310918252178041</v>
      </c>
    </row>
    <row r="144" spans="2:8">
      <c r="B144" s="646"/>
      <c r="C144" s="546"/>
      <c r="D144" s="546" t="s">
        <v>404</v>
      </c>
      <c r="E144" s="695" t="s">
        <v>623</v>
      </c>
      <c r="F144" s="689" t="s">
        <v>401</v>
      </c>
      <c r="G144" s="687">
        <f>AVERAGE(G130:G139)</f>
        <v>45.695006650978954</v>
      </c>
    </row>
    <row r="145" spans="2:7">
      <c r="B145" s="646"/>
      <c r="C145" s="546"/>
      <c r="D145" s="646"/>
      <c r="E145" s="696" t="s">
        <v>624</v>
      </c>
      <c r="F145" s="689" t="s">
        <v>402</v>
      </c>
      <c r="G145" s="687">
        <f>AVERAGE(G120:G139)</f>
        <v>38.567165760050102</v>
      </c>
    </row>
    <row r="146" spans="2:7">
      <c r="B146" s="699"/>
      <c r="C146" s="684"/>
      <c r="D146" s="699"/>
      <c r="E146" s="700" t="s">
        <v>625</v>
      </c>
      <c r="F146" s="690" t="s">
        <v>403</v>
      </c>
      <c r="G146" s="694">
        <f>AVERAGE(G115:G139)</f>
        <v>35.900454522716466</v>
      </c>
    </row>
    <row r="147" spans="2:7">
      <c r="E147" s="646"/>
      <c r="F147" s="646"/>
      <c r="G147" s="646"/>
    </row>
    <row r="148" spans="2:7">
      <c r="D148" s="780" t="s">
        <v>542</v>
      </c>
      <c r="E148" s="968" t="s">
        <v>543</v>
      </c>
      <c r="F148" s="538">
        <f>MIN(F130:F139)</f>
        <v>-43.974596810301762</v>
      </c>
      <c r="G148" s="967"/>
    </row>
    <row r="149" spans="2:7">
      <c r="E149" s="968" t="s">
        <v>544</v>
      </c>
      <c r="F149" s="538">
        <f>MAX(F130:F139)</f>
        <v>128.19306595825802</v>
      </c>
      <c r="G149" s="967"/>
    </row>
  </sheetData>
  <mergeCells count="2">
    <mergeCell ref="I5:L5"/>
    <mergeCell ref="N6:O6"/>
  </mergeCells>
  <phoneticPr fontId="60" type="noConversion"/>
  <printOptions horizontalCentered="1"/>
  <pageMargins left="0.5" right="0.5" top="0.5" bottom="0.75" header="0.5" footer="0.5"/>
  <pageSetup scale="37" orientation="portrait" horizontalDpi="300" verticalDpi="3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R887"/>
  <sheetViews>
    <sheetView zoomScale="75" workbookViewId="0">
      <pane ySplit="6" topLeftCell="A40" activePane="bottomLeft" state="frozen"/>
      <selection activeCell="W48" sqref="W48"/>
      <selection pane="bottomLeft"/>
    </sheetView>
  </sheetViews>
  <sheetFormatPr defaultRowHeight="15"/>
  <cols>
    <col min="7" max="8" width="7.77734375" customWidth="1"/>
    <col min="9" max="9" width="9.109375" bestFit="1" customWidth="1"/>
    <col min="13" max="16" width="7.77734375" customWidth="1"/>
    <col min="17" max="17" width="11.109375" customWidth="1"/>
  </cols>
  <sheetData>
    <row r="1" spans="1:18" s="6" customFormat="1" ht="15.75">
      <c r="A1" s="671" t="str">
        <f ca="1">CELL("filename",A1)</f>
        <v>O:\DCF\SALMON\FORECAST\2015\[2015_Copper River Wild Sockeye forecast_FINAL.xlsm]Run by Year</v>
      </c>
    </row>
    <row r="2" spans="1:18" s="6" customFormat="1" ht="15.75">
      <c r="A2" s="988">
        <v>1</v>
      </c>
      <c r="B2" s="988">
        <v>2</v>
      </c>
      <c r="C2" s="988">
        <v>3</v>
      </c>
      <c r="D2" s="988">
        <v>4</v>
      </c>
      <c r="E2" s="988">
        <v>5</v>
      </c>
      <c r="F2" s="988">
        <v>6</v>
      </c>
      <c r="G2" s="988">
        <v>7</v>
      </c>
      <c r="H2" s="988">
        <v>8</v>
      </c>
      <c r="I2" s="988">
        <v>9</v>
      </c>
      <c r="J2" s="988">
        <v>10</v>
      </c>
      <c r="K2" s="988">
        <v>11</v>
      </c>
      <c r="L2" s="988">
        <v>12</v>
      </c>
      <c r="M2" s="988">
        <v>13</v>
      </c>
      <c r="N2" s="988">
        <v>14</v>
      </c>
      <c r="O2" s="988">
        <v>15</v>
      </c>
      <c r="P2" s="988">
        <v>16</v>
      </c>
    </row>
    <row r="3" spans="1:18" s="6" customFormat="1" ht="18.75">
      <c r="A3" s="861" t="s">
        <v>619</v>
      </c>
    </row>
    <row r="4" spans="1:18" s="6" customFormat="1" ht="18.75">
      <c r="A4" s="861" t="s">
        <v>548</v>
      </c>
    </row>
    <row r="5" spans="1:18" s="6" customFormat="1" ht="15.75">
      <c r="A5" s="826" t="s">
        <v>511</v>
      </c>
      <c r="B5" s="826" t="s">
        <v>507</v>
      </c>
      <c r="C5" s="854" t="s">
        <v>508</v>
      </c>
      <c r="D5" s="854"/>
      <c r="E5" s="854" t="s">
        <v>406</v>
      </c>
      <c r="F5" s="854"/>
      <c r="G5" s="854"/>
      <c r="H5" s="854" t="s">
        <v>407</v>
      </c>
      <c r="I5" s="854"/>
      <c r="J5" s="854"/>
      <c r="K5" s="854" t="s">
        <v>509</v>
      </c>
      <c r="L5" s="854"/>
      <c r="M5" s="855"/>
      <c r="N5" s="854" t="s">
        <v>510</v>
      </c>
      <c r="O5" s="854"/>
      <c r="P5" s="854"/>
      <c r="Q5" s="824"/>
      <c r="R5" s="824"/>
    </row>
    <row r="6" spans="1:18" s="6" customFormat="1" ht="15.75">
      <c r="A6" s="828" t="s">
        <v>27</v>
      </c>
      <c r="B6" s="857" t="s">
        <v>224</v>
      </c>
      <c r="C6" s="857" t="s">
        <v>225</v>
      </c>
      <c r="D6" s="856" t="s">
        <v>226</v>
      </c>
      <c r="E6" s="856" t="s">
        <v>227</v>
      </c>
      <c r="F6" s="856" t="s">
        <v>228</v>
      </c>
      <c r="G6" s="829" t="s">
        <v>229</v>
      </c>
      <c r="H6" s="829" t="s">
        <v>230</v>
      </c>
      <c r="I6" s="856" t="s">
        <v>231</v>
      </c>
      <c r="J6" s="856" t="s">
        <v>232</v>
      </c>
      <c r="K6" s="829" t="s">
        <v>233</v>
      </c>
      <c r="L6" s="856" t="s">
        <v>234</v>
      </c>
      <c r="M6" s="829" t="s">
        <v>235</v>
      </c>
      <c r="N6" s="829" t="s">
        <v>236</v>
      </c>
      <c r="O6" s="829" t="s">
        <v>237</v>
      </c>
      <c r="P6" s="829" t="s">
        <v>238</v>
      </c>
      <c r="Q6" s="829" t="s">
        <v>128</v>
      </c>
      <c r="R6" s="829" t="s">
        <v>367</v>
      </c>
    </row>
    <row r="7" spans="1:18" s="6" customFormat="1" ht="15.75">
      <c r="A7" s="666">
        <v>1960</v>
      </c>
      <c r="B7" s="851"/>
      <c r="C7" s="851"/>
      <c r="D7" s="851"/>
      <c r="E7" s="851"/>
      <c r="F7" s="851"/>
      <c r="G7" s="851"/>
      <c r="H7" s="851"/>
      <c r="I7" s="851"/>
      <c r="J7" s="851"/>
      <c r="K7" s="851"/>
      <c r="L7" s="851"/>
      <c r="M7" s="851"/>
      <c r="N7" s="851"/>
      <c r="O7" s="851"/>
      <c r="P7" s="851"/>
    </row>
    <row r="8" spans="1:18" s="6" customFormat="1" ht="15.75">
      <c r="A8" s="666">
        <v>1961</v>
      </c>
      <c r="B8" s="851" t="str">
        <f>IF(ISBLANK('Brd Link'!B9),"NA",'Brd Link'!B9)</f>
        <v>NA</v>
      </c>
      <c r="C8" s="851" t="str">
        <f>IF(ISBLANK('Brd Link'!C8),"NA",'Brd Link'!C8)</f>
        <v>NA</v>
      </c>
      <c r="D8" s="851" t="str">
        <f>IF(ISBLANK('Brd Link'!D8),"NA",'Brd Link'!D8)</f>
        <v>NA</v>
      </c>
      <c r="E8" s="851"/>
      <c r="F8" s="851"/>
      <c r="G8" s="851"/>
      <c r="H8" s="851"/>
      <c r="I8" s="851"/>
      <c r="J8" s="851"/>
      <c r="K8" s="851"/>
      <c r="L8" s="851"/>
      <c r="M8" s="851"/>
      <c r="N8" s="851"/>
      <c r="O8" s="851"/>
      <c r="P8" s="851"/>
    </row>
    <row r="9" spans="1:18" s="6" customFormat="1" ht="15.75">
      <c r="A9" s="666">
        <v>1962</v>
      </c>
      <c r="B9" s="851" t="str">
        <f>IF(ISBLANK('Brd Link'!B10),"NA",'Brd Link'!B10)</f>
        <v>NA</v>
      </c>
      <c r="C9" s="851" t="str">
        <f>IF(ISBLANK('Brd Link'!C9),"NA",'Brd Link'!C9)</f>
        <v>NA</v>
      </c>
      <c r="D9" s="851" t="str">
        <f>IF(ISBLANK('Brd Link'!D9),"NA",'Brd Link'!D9)</f>
        <v>NA</v>
      </c>
      <c r="E9" s="851" t="str">
        <f>IF(ISBLANK('Brd Link'!E8),"NA",'Brd Link'!E8)</f>
        <v>NA</v>
      </c>
      <c r="F9" s="917" t="str">
        <f>IF(ISBLANK('Brd Link'!F8),"NA",'Brd Link'!F8)</f>
        <v>NA</v>
      </c>
      <c r="G9" s="851" t="str">
        <f>IF(ISBLANK('Brd Link'!G8),"NA",'Brd Link'!G8)</f>
        <v>NA</v>
      </c>
      <c r="H9" s="851"/>
      <c r="I9" s="851"/>
      <c r="J9" s="851"/>
      <c r="K9" s="851"/>
      <c r="L9" s="851"/>
      <c r="M9" s="851"/>
      <c r="N9" s="851"/>
      <c r="O9" s="851"/>
      <c r="P9" s="851"/>
    </row>
    <row r="10" spans="1:18" s="6" customFormat="1" ht="15.75">
      <c r="A10" s="666">
        <v>1963</v>
      </c>
      <c r="B10" s="851" t="str">
        <f>IF(ISBLANK('Brd Link'!B11),"NA",'Brd Link'!B11)</f>
        <v>NA</v>
      </c>
      <c r="C10" s="851" t="str">
        <f>IF(ISBLANK('Brd Link'!C10),"NA",'Brd Link'!C10)</f>
        <v>NA</v>
      </c>
      <c r="D10" s="851" t="str">
        <f>IF(ISBLANK('Brd Link'!D10),"NA",'Brd Link'!D10)</f>
        <v>NA</v>
      </c>
      <c r="E10" s="851" t="str">
        <f>IF(ISBLANK('Brd Link'!E9),"NA",'Brd Link'!E9)</f>
        <v>NA</v>
      </c>
      <c r="F10" s="917" t="str">
        <f>IF(ISBLANK('Brd Link'!F9),"NA",'Brd Link'!F9)</f>
        <v>NA</v>
      </c>
      <c r="G10" s="851" t="str">
        <f>IF(ISBLANK('Brd Link'!G9),"NA",'Brd Link'!G9)</f>
        <v>NA</v>
      </c>
      <c r="H10" s="851" t="str">
        <f>IF(ISBLANK('Brd Link'!H8),"NA",'Brd Link'!H8)</f>
        <v>NA</v>
      </c>
      <c r="I10" s="851" t="str">
        <f>IF(ISBLANK('Brd Link'!I8),"NA",'Brd Link'!I8)</f>
        <v>NA</v>
      </c>
      <c r="J10" s="851" t="str">
        <f>IF(ISBLANK('Brd Link'!J8),"NA",'Brd Link'!J8)</f>
        <v>NA</v>
      </c>
      <c r="K10" s="851"/>
      <c r="L10" s="851"/>
      <c r="M10" s="851"/>
      <c r="N10" s="851"/>
      <c r="O10" s="851"/>
      <c r="P10" s="851"/>
    </row>
    <row r="11" spans="1:18" s="6" customFormat="1" ht="15.75">
      <c r="A11" s="666">
        <v>1964</v>
      </c>
      <c r="B11" s="851" t="str">
        <f>IF(ISBLANK('Brd Link'!B12),"NA",'Brd Link'!B12)</f>
        <v>NA</v>
      </c>
      <c r="C11" s="851" t="str">
        <f>IF(ISBLANK('Brd Link'!C11),"NA",'Brd Link'!C11)</f>
        <v>NA</v>
      </c>
      <c r="D11" s="851" t="str">
        <f>IF(ISBLANK('Brd Link'!D11),"NA",'Brd Link'!D11)</f>
        <v>NA</v>
      </c>
      <c r="E11" s="851" t="str">
        <f>IF(ISBLANK('Brd Link'!E10),"NA",'Brd Link'!E10)</f>
        <v>NA</v>
      </c>
      <c r="F11" s="917" t="str">
        <f>IF(ISBLANK('Brd Link'!F10),"NA",'Brd Link'!F10)</f>
        <v>NA</v>
      </c>
      <c r="G11" s="851" t="str">
        <f>IF(ISBLANK('Brd Link'!G10),"NA",'Brd Link'!G10)</f>
        <v>NA</v>
      </c>
      <c r="H11" s="851" t="str">
        <f>IF(ISBLANK('Brd Link'!H9),"NA",'Brd Link'!H9)</f>
        <v>NA</v>
      </c>
      <c r="I11" s="851" t="str">
        <f>IF(ISBLANK('Brd Link'!I9),"NA",'Brd Link'!I9)</f>
        <v>NA</v>
      </c>
      <c r="J11" s="851" t="str">
        <f>IF(ISBLANK('Brd Link'!J9),"NA",'Brd Link'!J9)</f>
        <v>NA</v>
      </c>
      <c r="K11" s="851" t="str">
        <f>IF(ISBLANK('Brd Link'!K8),"NA",'Brd Link'!K8)</f>
        <v>NA</v>
      </c>
      <c r="L11" s="851" t="str">
        <f>IF(ISBLANK('Brd Link'!L8),"NA",'Brd Link'!L8)</f>
        <v>NA</v>
      </c>
      <c r="M11" s="851" t="str">
        <f>IF(ISBLANK('Brd Link'!M8),"NA",'Brd Link'!M8)</f>
        <v>NA</v>
      </c>
      <c r="N11" s="851"/>
      <c r="O11" s="851"/>
      <c r="P11" s="851"/>
    </row>
    <row r="12" spans="1:18" s="6" customFormat="1" ht="15.75">
      <c r="A12" s="666">
        <v>1965</v>
      </c>
      <c r="B12" s="851">
        <f>IF(ISBLANK('Brd Link'!B13),"NA",'Brd Link'!B13)</f>
        <v>0</v>
      </c>
      <c r="C12" s="851">
        <f>IF(ISBLANK('Brd Link'!C12),"NA",'Brd Link'!C12)</f>
        <v>0</v>
      </c>
      <c r="D12" s="851">
        <f>IF(ISBLANK('Brd Link'!D12),"NA",'Brd Link'!D12)</f>
        <v>14503.370800193386</v>
      </c>
      <c r="E12" s="851">
        <f>IF(ISBLANK('Brd Link'!E11),"NA",'Brd Link'!E11)</f>
        <v>71615.903745300515</v>
      </c>
      <c r="F12" s="851">
        <f>IF(ISBLANK('Brd Link'!F11),"NA",'Brd Link'!F11)</f>
        <v>179040.49850974398</v>
      </c>
      <c r="G12" s="851">
        <f>IF(ISBLANK('Brd Link'!G11),"NA",'Brd Link'!G11)</f>
        <v>1192.9824403438433</v>
      </c>
      <c r="H12" s="851">
        <f>IF(ISBLANK('Brd Link'!H10),"NA",'Brd Link'!H10)</f>
        <v>0</v>
      </c>
      <c r="I12" s="851">
        <f>IF(ISBLANK('Brd Link'!I10),"NA",'Brd Link'!I10)</f>
        <v>692291.99718119414</v>
      </c>
      <c r="J12" s="851">
        <f>IF(ISBLANK('Brd Link'!J10),"NA",'Brd Link'!J10)</f>
        <v>35808.691019143684</v>
      </c>
      <c r="K12" s="851">
        <f>IF(ISBLANK('Brd Link'!K9),"NA",'Brd Link'!K9)</f>
        <v>0</v>
      </c>
      <c r="L12" s="851">
        <f>IF(ISBLANK('Brd Link'!L9),"NA",'Brd Link'!L9)</f>
        <v>226784.92710427393</v>
      </c>
      <c r="M12" s="851">
        <f>IF(ISBLANK('Brd Link'!M9),"NA",'Brd Link'!M9)</f>
        <v>0</v>
      </c>
      <c r="N12" s="851">
        <f>IF(ISBLANK('Brd Link'!N8),"NA",'Brd Link'!N8)</f>
        <v>0</v>
      </c>
      <c r="O12" s="851">
        <f>IF(ISBLANK('Brd Link'!O8),"NA",'Brd Link'!O8)</f>
        <v>0</v>
      </c>
      <c r="P12" s="851">
        <f>IF(ISBLANK('Brd Link'!P8),"NA",'Brd Link'!P8)</f>
        <v>0</v>
      </c>
      <c r="Q12" s="670">
        <f>SUM(B12:P12)</f>
        <v>1221238.3708001934</v>
      </c>
      <c r="R12" s="670">
        <f t="shared" ref="R12:R54" si="0">RANK($Q12,$Q$12:$Q$61)</f>
        <v>36</v>
      </c>
    </row>
    <row r="13" spans="1:18" s="6" customFormat="1" ht="15.75">
      <c r="A13" s="666">
        <v>1966</v>
      </c>
      <c r="B13" s="851">
        <f>IF(ISBLANK('Brd Link'!B14),"NA",'Brd Link'!B14)</f>
        <v>0</v>
      </c>
      <c r="C13" s="851">
        <f>IF(ISBLANK('Brd Link'!C13),"NA",'Brd Link'!C13)</f>
        <v>1717.6810329433952</v>
      </c>
      <c r="D13" s="851">
        <f>IF(ISBLANK('Brd Link'!D13),"NA",'Brd Link'!D13)</f>
        <v>12894.07414217453</v>
      </c>
      <c r="E13" s="851">
        <f>IF(ISBLANK('Brd Link'!E12),"NA",'Brd Link'!E12)</f>
        <v>47693.868321127309</v>
      </c>
      <c r="F13" s="851">
        <f>IF(ISBLANK('Brd Link'!F12),"NA",'Brd Link'!F12)</f>
        <v>102401.66367310109</v>
      </c>
      <c r="G13" s="851">
        <f>IF(ISBLANK('Brd Link'!G12),"NA",'Brd Link'!G12)</f>
        <v>1402.2284137507002</v>
      </c>
      <c r="H13" s="851">
        <f>IF(ISBLANK('Brd Link'!H11),"NA",'Brd Link'!H11)</f>
        <v>8416.1554445970542</v>
      </c>
      <c r="I13" s="851">
        <f>IF(ISBLANK('Brd Link'!I11),"NA",'Brd Link'!I11)</f>
        <v>1182522.7542456505</v>
      </c>
      <c r="J13" s="851">
        <f>IF(ISBLANK('Brd Link'!J11),"NA",'Brd Link'!J11)</f>
        <v>8416.1554445970542</v>
      </c>
      <c r="K13" s="851">
        <f>IF(ISBLANK('Brd Link'!K10),"NA",'Brd Link'!K10)</f>
        <v>1402.2284137507002</v>
      </c>
      <c r="L13" s="851">
        <f>IF(ISBLANK('Brd Link'!L10),"NA",'Brd Link'!L10)</f>
        <v>47693.868321127309</v>
      </c>
      <c r="M13" s="851">
        <f>IF(ISBLANK('Brd Link'!M10),"NA",'Brd Link'!M10)</f>
        <v>0</v>
      </c>
      <c r="N13" s="851">
        <f>IF(ISBLANK('Brd Link'!N9),"NA",'Brd Link'!N9)</f>
        <v>0</v>
      </c>
      <c r="O13" s="851">
        <f>IF(ISBLANK('Brd Link'!O9),"NA",'Brd Link'!O9)</f>
        <v>0</v>
      </c>
      <c r="P13" s="851">
        <f>IF(ISBLANK('Brd Link'!P9),"NA",'Brd Link'!P9)</f>
        <v>0</v>
      </c>
      <c r="Q13" s="670">
        <f t="shared" ref="Q13:Q56" si="1">SUM(B13:P13)</f>
        <v>1414560.6774528197</v>
      </c>
      <c r="R13" s="670">
        <f t="shared" si="0"/>
        <v>30</v>
      </c>
    </row>
    <row r="14" spans="1:18" s="6" customFormat="1" ht="15.75">
      <c r="A14" s="666">
        <v>1967</v>
      </c>
      <c r="B14" s="851">
        <f>IF(ISBLANK('Brd Link'!B15),"NA",'Brd Link'!B15)</f>
        <v>0</v>
      </c>
      <c r="C14" s="851">
        <f>IF(ISBLANK('Brd Link'!C14),"NA",'Brd Link'!C14)</f>
        <v>0</v>
      </c>
      <c r="D14" s="851">
        <f>IF(ISBLANK('Brd Link'!D14),"NA",'Brd Link'!D14)</f>
        <v>428.79690537223053</v>
      </c>
      <c r="E14" s="851">
        <f>IF(ISBLANK('Brd Link'!E13),"NA",'Brd Link'!E13)</f>
        <v>4236.0565954447939</v>
      </c>
      <c r="F14" s="851">
        <f>IF(ISBLANK('Brd Link'!F13),"NA",'Brd Link'!F13)</f>
        <v>97592.469650151805</v>
      </c>
      <c r="G14" s="851">
        <f>IF(ISBLANK('Brd Link'!G13),"NA",'Brd Link'!G13)</f>
        <v>0</v>
      </c>
      <c r="H14" s="851">
        <f>IF(ISBLANK('Brd Link'!H12),"NA",'Brd Link'!H12)</f>
        <v>0</v>
      </c>
      <c r="I14" s="851">
        <f>IF(ISBLANK('Brd Link'!I12),"NA",'Brd Link'!I12)</f>
        <v>560800.76741469896</v>
      </c>
      <c r="J14" s="851">
        <f>IF(ISBLANK('Brd Link'!J12),"NA",'Brd Link'!J12)</f>
        <v>9730.8429891859741</v>
      </c>
      <c r="K14" s="851">
        <f>IF(ISBLANK('Brd Link'!K11),"NA",'Brd Link'!K11)</f>
        <v>1394.3686293339142</v>
      </c>
      <c r="L14" s="851">
        <f>IF(ISBLANK('Brd Link'!L11),"NA",'Brd Link'!L11)</f>
        <v>13577.697815812178</v>
      </c>
      <c r="M14" s="851">
        <f>IF(ISBLANK('Brd Link'!M11),"NA",'Brd Link'!M11)</f>
        <v>0</v>
      </c>
      <c r="N14" s="851">
        <f>IF(ISBLANK('Brd Link'!N10),"NA",'Brd Link'!N10)</f>
        <v>0</v>
      </c>
      <c r="O14" s="851">
        <f>IF(ISBLANK('Brd Link'!O10),"NA",'Brd Link'!O10)</f>
        <v>0</v>
      </c>
      <c r="P14" s="851">
        <f>IF(ISBLANK('Brd Link'!P10),"NA",'Brd Link'!P10)</f>
        <v>0</v>
      </c>
      <c r="Q14" s="670">
        <f t="shared" si="1"/>
        <v>687760.99999999988</v>
      </c>
      <c r="R14" s="670">
        <f t="shared" si="0"/>
        <v>46</v>
      </c>
    </row>
    <row r="15" spans="1:18" s="6" customFormat="1" ht="15.75">
      <c r="A15" s="666">
        <v>1968</v>
      </c>
      <c r="B15" s="851">
        <f>IF(ISBLANK('Brd Link'!B16),"NA",'Brd Link'!B16)</f>
        <v>0</v>
      </c>
      <c r="C15" s="851">
        <f>IF(ISBLANK('Brd Link'!C15),"NA",'Brd Link'!C15)</f>
        <v>604.10285032127808</v>
      </c>
      <c r="D15" s="851">
        <f>IF(ISBLANK('Brd Link'!D15),"NA",'Brd Link'!D15)</f>
        <v>1603.3269485384492</v>
      </c>
      <c r="E15" s="851">
        <f>IF(ISBLANK('Brd Link'!E14),"NA",'Brd Link'!E14)</f>
        <v>6361.0343934533639</v>
      </c>
      <c r="F15" s="851">
        <f>IF(ISBLANK('Brd Link'!F14),"NA",'Brd Link'!F14)</f>
        <v>290718.45227450889</v>
      </c>
      <c r="G15" s="851">
        <f>IF(ISBLANK('Brd Link'!G14),"NA",'Brd Link'!G14)</f>
        <v>0</v>
      </c>
      <c r="H15" s="851">
        <f>IF(ISBLANK('Brd Link'!H13),"NA",'Brd Link'!H13)</f>
        <v>0</v>
      </c>
      <c r="I15" s="851">
        <f>IF(ISBLANK('Brd Link'!I13),"NA",'Brd Link'!I13)</f>
        <v>491920.16191207559</v>
      </c>
      <c r="J15" s="851">
        <f>IF(ISBLANK('Brd Link'!J13),"NA",'Brd Link'!J13)</f>
        <v>11635.393626492296</v>
      </c>
      <c r="K15" s="851">
        <f>IF(ISBLANK('Brd Link'!K12),"NA",'Brd Link'!K12)</f>
        <v>2760.7429571064249</v>
      </c>
      <c r="L15" s="851">
        <f>IF(ISBLANK('Brd Link'!L12),"NA",'Brd Link'!L12)</f>
        <v>27892.785037503665</v>
      </c>
      <c r="M15" s="851">
        <f>IF(ISBLANK('Brd Link'!M12),"NA",'Brd Link'!M12)</f>
        <v>0</v>
      </c>
      <c r="N15" s="851">
        <f>IF(ISBLANK('Brd Link'!N11),"NA",'Brd Link'!N11)</f>
        <v>0</v>
      </c>
      <c r="O15" s="851">
        <f>IF(ISBLANK('Brd Link'!O11),"NA",'Brd Link'!O11)</f>
        <v>0</v>
      </c>
      <c r="P15" s="851">
        <f>IF(ISBLANK('Brd Link'!P11),"NA",'Brd Link'!P11)</f>
        <v>0</v>
      </c>
      <c r="Q15" s="670">
        <f t="shared" si="1"/>
        <v>833496</v>
      </c>
      <c r="R15" s="670">
        <f t="shared" si="0"/>
        <v>44</v>
      </c>
    </row>
    <row r="16" spans="1:18" s="6" customFormat="1" ht="15.75">
      <c r="A16" s="666">
        <v>1969</v>
      </c>
      <c r="B16" s="851">
        <f>IF(ISBLANK('Brd Link'!B17),"NA",'Brd Link'!B17)</f>
        <v>0</v>
      </c>
      <c r="C16" s="851">
        <f>IF(ISBLANK('Brd Link'!C16),"NA",'Brd Link'!C16)</f>
        <v>932.63178685723972</v>
      </c>
      <c r="D16" s="851">
        <f>IF(ISBLANK('Brd Link'!D16),"NA",'Brd Link'!D16)</f>
        <v>66.92879366570692</v>
      </c>
      <c r="E16" s="851">
        <f>IF(ISBLANK('Brd Link'!E15),"NA",'Brd Link'!E15)</f>
        <v>379.22291204008309</v>
      </c>
      <c r="F16" s="851">
        <f>IF(ISBLANK('Brd Link'!F15),"NA",'Brd Link'!F15)</f>
        <v>386377.08528941998</v>
      </c>
      <c r="G16" s="851">
        <f>IF(ISBLANK('Brd Link'!G15),"NA",'Brd Link'!G15)</f>
        <v>0</v>
      </c>
      <c r="H16" s="851">
        <f>IF(ISBLANK('Brd Link'!H14),"NA",'Brd Link'!H14)</f>
        <v>151.47122061371087</v>
      </c>
      <c r="I16" s="851">
        <f>IF(ISBLANK('Brd Link'!I14),"NA",'Brd Link'!I14)</f>
        <v>836133.8820333922</v>
      </c>
      <c r="J16" s="851">
        <f>IF(ISBLANK('Brd Link'!J14),"NA",'Brd Link'!J14)</f>
        <v>23028.814069610569</v>
      </c>
      <c r="K16" s="851">
        <f>IF(ISBLANK('Brd Link'!K13),"NA",'Brd Link'!K13)</f>
        <v>1062.4779863192002</v>
      </c>
      <c r="L16" s="851">
        <f>IF(ISBLANK('Brd Link'!L13),"NA",'Brd Link'!L13)</f>
        <v>9522.4859080815004</v>
      </c>
      <c r="M16" s="851">
        <f>IF(ISBLANK('Brd Link'!M13),"NA",'Brd Link'!M13)</f>
        <v>0</v>
      </c>
      <c r="N16" s="851">
        <f>IF(ISBLANK('Brd Link'!N12),"NA",'Brd Link'!N12)</f>
        <v>0</v>
      </c>
      <c r="O16" s="851">
        <f>IF(ISBLANK('Brd Link'!O12),"NA",'Brd Link'!O12)</f>
        <v>0</v>
      </c>
      <c r="P16" s="851">
        <f>IF(ISBLANK('Brd Link'!P12),"NA",'Brd Link'!P12)</f>
        <v>0</v>
      </c>
      <c r="Q16" s="670">
        <f t="shared" si="1"/>
        <v>1257655.0000000002</v>
      </c>
      <c r="R16" s="670">
        <f t="shared" si="0"/>
        <v>34</v>
      </c>
    </row>
    <row r="17" spans="1:18" s="6" customFormat="1" ht="15.75">
      <c r="A17" s="666">
        <v>1970</v>
      </c>
      <c r="B17" s="851">
        <f>IF(ISBLANK('Brd Link'!B18),"NA",'Brd Link'!B18)</f>
        <v>0</v>
      </c>
      <c r="C17" s="851">
        <f>IF(ISBLANK('Brd Link'!C17),"NA",'Brd Link'!C17)</f>
        <v>1048.7488775917957</v>
      </c>
      <c r="D17" s="851">
        <f>IF(ISBLANK('Brd Link'!D17),"NA",'Brd Link'!D17)</f>
        <v>1688.7086939265012</v>
      </c>
      <c r="E17" s="851">
        <f>IF(ISBLANK('Brd Link'!E16),"NA",'Brd Link'!E16)</f>
        <v>4184.0350749933223</v>
      </c>
      <c r="F17" s="851">
        <f>IF(ISBLANK('Brd Link'!F16),"NA",'Brd Link'!F16)</f>
        <v>302159.62071066484</v>
      </c>
      <c r="G17" s="851">
        <f>IF(ISBLANK('Brd Link'!G16),"NA",'Brd Link'!G16)</f>
        <v>151.34067638488452</v>
      </c>
      <c r="H17" s="851">
        <f>IF(ISBLANK('Brd Link'!H15),"NA",'Brd Link'!H15)</f>
        <v>0</v>
      </c>
      <c r="I17" s="851">
        <f>IF(ISBLANK('Brd Link'!I15),"NA",'Brd Link'!I15)</f>
        <v>1126848.439217363</v>
      </c>
      <c r="J17" s="851">
        <f>IF(ISBLANK('Brd Link'!J15),"NA",'Brd Link'!J15)</f>
        <v>25570.264338042718</v>
      </c>
      <c r="K17" s="851">
        <f>IF(ISBLANK('Brd Link'!K14),"NA",'Brd Link'!K14)</f>
        <v>5922.5580201531502</v>
      </c>
      <c r="L17" s="851">
        <f>IF(ISBLANK('Brd Link'!L14),"NA",'Brd Link'!L14)</f>
        <v>24854.351915700765</v>
      </c>
      <c r="M17" s="851">
        <f>IF(ISBLANK('Brd Link'!M14),"NA",'Brd Link'!M14)</f>
        <v>0</v>
      </c>
      <c r="N17" s="851">
        <f>IF(ISBLANK('Brd Link'!N13),"NA",'Brd Link'!N13)</f>
        <v>0</v>
      </c>
      <c r="O17" s="851">
        <f>IF(ISBLANK('Brd Link'!O13),"NA",'Brd Link'!O13)</f>
        <v>151.34067638488452</v>
      </c>
      <c r="P17" s="851">
        <f>IF(ISBLANK('Brd Link'!P13),"NA",'Brd Link'!P13)</f>
        <v>0</v>
      </c>
      <c r="Q17" s="670">
        <f t="shared" si="1"/>
        <v>1492579.408201206</v>
      </c>
      <c r="R17" s="670">
        <f t="shared" si="0"/>
        <v>28</v>
      </c>
    </row>
    <row r="18" spans="1:18" s="6" customFormat="1" ht="15.75">
      <c r="A18" s="892">
        <v>1971</v>
      </c>
      <c r="B18" s="851">
        <f>IF(ISBLANK('Brd Link'!B19),"NA",'Brd Link'!B19)</f>
        <v>0</v>
      </c>
      <c r="C18" s="851">
        <f>IF(ISBLANK('Brd Link'!C18),"NA",'Brd Link'!C18)</f>
        <v>1555.3724171153767</v>
      </c>
      <c r="D18" s="851">
        <f>IF(ISBLANK('Brd Link'!D18),"NA",'Brd Link'!D18)</f>
        <v>2130.1268164769431</v>
      </c>
      <c r="E18" s="851">
        <f>IF(ISBLANK('Brd Link'!E17),"NA",'Brd Link'!E17)</f>
        <v>2323.2100230410065</v>
      </c>
      <c r="F18" s="851">
        <f>IF(ISBLANK('Brd Link'!F17),"NA",'Brd Link'!F17)</f>
        <v>97321.711125474932</v>
      </c>
      <c r="G18" s="851">
        <f>IF(ISBLANK('Brd Link'!G17),"NA",'Brd Link'!G17)</f>
        <v>243.21333065567018</v>
      </c>
      <c r="H18" s="851">
        <f>IF(ISBLANK('Brd Link'!H16),"NA",'Brd Link'!H16)</f>
        <v>0</v>
      </c>
      <c r="I18" s="851">
        <f>IF(ISBLANK('Brd Link'!I16),"NA",'Brd Link'!I16)</f>
        <v>886578.61449924554</v>
      </c>
      <c r="J18" s="851">
        <f>IF(ISBLANK('Brd Link'!J16),"NA",'Brd Link'!J16)</f>
        <v>14517.766092942984</v>
      </c>
      <c r="K18" s="851">
        <f>IF(ISBLANK('Brd Link'!K15),"NA",'Brd Link'!K15)</f>
        <v>3233.3106850027498</v>
      </c>
      <c r="L18" s="851">
        <f>IF(ISBLANK('Brd Link'!L15),"NA",'Brd Link'!L15)</f>
        <v>242501.46167938894</v>
      </c>
      <c r="M18" s="851">
        <f>IF(ISBLANK('Brd Link'!M15),"NA",'Brd Link'!M15)</f>
        <v>0</v>
      </c>
      <c r="N18" s="851">
        <f>IF(ISBLANK('Brd Link'!N14),"NA",'Brd Link'!N14)</f>
        <v>0</v>
      </c>
      <c r="O18" s="851">
        <f>IF(ISBLANK('Brd Link'!O14),"NA",'Brd Link'!O14)</f>
        <v>0</v>
      </c>
      <c r="P18" s="851">
        <f>IF(ISBLANK('Brd Link'!P14),"NA",'Brd Link'!P14)</f>
        <v>243.21333065567018</v>
      </c>
      <c r="Q18" s="670">
        <f t="shared" si="1"/>
        <v>1250647.9999999998</v>
      </c>
      <c r="R18" s="670">
        <f t="shared" si="0"/>
        <v>35</v>
      </c>
    </row>
    <row r="19" spans="1:18" s="6" customFormat="1" ht="15.75">
      <c r="A19" s="666">
        <v>1972</v>
      </c>
      <c r="B19" s="851">
        <f>IF(ISBLANK('Brd Link'!B20),"NA",'Brd Link'!B20)</f>
        <v>0</v>
      </c>
      <c r="C19" s="851">
        <f>IF(ISBLANK('Brd Link'!C19),"NA",'Brd Link'!C19)</f>
        <v>0</v>
      </c>
      <c r="D19" s="851">
        <f>IF(ISBLANK('Brd Link'!D19),"NA",'Brd Link'!D19)</f>
        <v>2003.6619467271901</v>
      </c>
      <c r="E19" s="851">
        <f>IF(ISBLANK('Brd Link'!E18),"NA",'Brd Link'!E18)</f>
        <v>17573.119769802408</v>
      </c>
      <c r="F19" s="851">
        <f>IF(ISBLANK('Brd Link'!F18),"NA",'Brd Link'!F18)</f>
        <v>145881.52486171451</v>
      </c>
      <c r="G19" s="851">
        <f>IF(ISBLANK('Brd Link'!G18),"NA",'Brd Link'!G18)</f>
        <v>0</v>
      </c>
      <c r="H19" s="851">
        <f>IF(ISBLANK('Brd Link'!H17),"NA",'Brd Link'!H17)</f>
        <v>469.51654582189349</v>
      </c>
      <c r="I19" s="851">
        <f>IF(ISBLANK('Brd Link'!I17),"NA",'Brd Link'!I17)</f>
        <v>707854.19432154007</v>
      </c>
      <c r="J19" s="851">
        <f>IF(ISBLANK('Brd Link'!J17),"NA",'Brd Link'!J17)</f>
        <v>8920.9067780155819</v>
      </c>
      <c r="K19" s="851">
        <f>IF(ISBLANK('Brd Link'!K16),"NA",'Brd Link'!K16)</f>
        <v>4029.925785915173</v>
      </c>
      <c r="L19" s="851">
        <f>IF(ISBLANK('Brd Link'!L16),"NA",'Brd Link'!L16)</f>
        <v>280325.15607490181</v>
      </c>
      <c r="M19" s="851">
        <f>IF(ISBLANK('Brd Link'!M16),"NA",'Brd Link'!M16)</f>
        <v>0</v>
      </c>
      <c r="N19" s="851">
        <f>IF(ISBLANK('Brd Link'!N15),"NA",'Brd Link'!N15)</f>
        <v>0</v>
      </c>
      <c r="O19" s="851">
        <f>IF(ISBLANK('Brd Link'!O15),"NA",'Brd Link'!O15)</f>
        <v>1305.158688256198</v>
      </c>
      <c r="P19" s="851">
        <f>IF(ISBLANK('Brd Link'!P15),"NA",'Brd Link'!P15)</f>
        <v>2088.4971740315818</v>
      </c>
      <c r="Q19" s="670">
        <f t="shared" si="1"/>
        <v>1170451.6619467265</v>
      </c>
      <c r="R19" s="670">
        <f t="shared" si="0"/>
        <v>38</v>
      </c>
    </row>
    <row r="20" spans="1:18" s="6" customFormat="1" ht="15.75">
      <c r="A20" s="666">
        <v>1973</v>
      </c>
      <c r="B20" s="851">
        <f>IF(ISBLANK('Brd Link'!B21),"NA",'Brd Link'!B21)</f>
        <v>0</v>
      </c>
      <c r="C20" s="851">
        <f>IF(ISBLANK('Brd Link'!C20),"NA",'Brd Link'!C20)</f>
        <v>8415.1073745845188</v>
      </c>
      <c r="D20" s="851">
        <f>IF(ISBLANK('Brd Link'!D20),"NA",'Brd Link'!D20)</f>
        <v>24205.142110078956</v>
      </c>
      <c r="E20" s="851">
        <f>IF(ISBLANK('Brd Link'!E19),"NA",'Brd Link'!E19)</f>
        <v>25478.999999999985</v>
      </c>
      <c r="F20" s="851">
        <f>IF(ISBLANK('Brd Link'!F19),"NA",'Brd Link'!F19)</f>
        <v>101514.29846521815</v>
      </c>
      <c r="G20" s="851">
        <f>IF(ISBLANK('Brd Link'!G19),"NA",'Brd Link'!G19)</f>
        <v>0</v>
      </c>
      <c r="H20" s="851">
        <f>IF(ISBLANK('Brd Link'!H18),"NA",'Brd Link'!H18)</f>
        <v>0</v>
      </c>
      <c r="I20" s="851">
        <f>IF(ISBLANK('Brd Link'!I18),"NA",'Brd Link'!I18)</f>
        <v>592986.4878251045</v>
      </c>
      <c r="J20" s="851">
        <f>IF(ISBLANK('Brd Link'!J18),"NA",'Brd Link'!J18)</f>
        <v>14396.979946877575</v>
      </c>
      <c r="K20" s="851">
        <f>IF(ISBLANK('Brd Link'!K17),"NA",'Brd Link'!K17)</f>
        <v>0</v>
      </c>
      <c r="L20" s="851">
        <f>IF(ISBLANK('Brd Link'!L17),"NA",'Brd Link'!L17)</f>
        <v>51477.233762799864</v>
      </c>
      <c r="M20" s="851">
        <f>IF(ISBLANK('Brd Link'!M17),"NA",'Brd Link'!M17)</f>
        <v>0</v>
      </c>
      <c r="N20" s="851">
        <f>IF(ISBLANK('Brd Link'!N16),"NA",'Brd Link'!N16)</f>
        <v>0</v>
      </c>
      <c r="O20" s="851">
        <f>IF(ISBLANK('Brd Link'!O16),"NA",'Brd Link'!O16)</f>
        <v>0</v>
      </c>
      <c r="P20" s="851">
        <f>IF(ISBLANK('Brd Link'!P16),"NA",'Brd Link'!P16)</f>
        <v>0</v>
      </c>
      <c r="Q20" s="670">
        <f t="shared" si="1"/>
        <v>818474.2494846636</v>
      </c>
      <c r="R20" s="670">
        <f t="shared" si="0"/>
        <v>45</v>
      </c>
    </row>
    <row r="21" spans="1:18" s="6" customFormat="1" ht="15.75">
      <c r="A21" s="666">
        <v>1974</v>
      </c>
      <c r="B21" s="851">
        <f>IF(ISBLANK('Brd Link'!B22),"NA",'Brd Link'!B22)</f>
        <v>0</v>
      </c>
      <c r="C21" s="851">
        <f>IF(ISBLANK('Brd Link'!C21),"NA",'Brd Link'!C21)</f>
        <v>740.64952573521225</v>
      </c>
      <c r="D21" s="851">
        <f>IF(ISBLANK('Brd Link'!D21),"NA",'Brd Link'!D21)</f>
        <v>1316.9891180949446</v>
      </c>
      <c r="E21" s="851">
        <f>IF(ISBLANK('Brd Link'!E20),"NA",'Brd Link'!E20)</f>
        <v>7081.0682034509573</v>
      </c>
      <c r="F21" s="851">
        <f>IF(ISBLANK('Brd Link'!F20),"NA",'Brd Link'!F20)</f>
        <v>83934.462420078504</v>
      </c>
      <c r="G21" s="851">
        <f>IF(ISBLANK('Brd Link'!G20),"NA",'Brd Link'!G20)</f>
        <v>31.465333979785921</v>
      </c>
      <c r="H21" s="851">
        <f>IF(ISBLANK('Brd Link'!H19),"NA",'Brd Link'!H19)</f>
        <v>314.65333979785919</v>
      </c>
      <c r="I21" s="851">
        <f>IF(ISBLANK('Brd Link'!I19),"NA",'Brd Link'!I19)</f>
        <v>638486.34876982134</v>
      </c>
      <c r="J21" s="851">
        <f>IF(ISBLANK('Brd Link'!J19),"NA",'Brd Link'!J19)</f>
        <v>43304.50790418018</v>
      </c>
      <c r="K21" s="851">
        <f>IF(ISBLANK('Brd Link'!K18),"NA",'Brd Link'!K18)</f>
        <v>2686.8659102738975</v>
      </c>
      <c r="L21" s="851">
        <f>IF(ISBLANK('Brd Link'!L18),"NA",'Brd Link'!L18)</f>
        <v>66910.348679015195</v>
      </c>
      <c r="M21" s="851">
        <f>IF(ISBLANK('Brd Link'!M18),"NA",'Brd Link'!M18)</f>
        <v>0</v>
      </c>
      <c r="N21" s="851">
        <f>IF(ISBLANK('Brd Link'!N17),"NA",'Brd Link'!N17)</f>
        <v>0</v>
      </c>
      <c r="O21" s="851">
        <f>IF(ISBLANK('Brd Link'!O17),"NA",'Brd Link'!O17)</f>
        <v>0</v>
      </c>
      <c r="P21" s="851">
        <f>IF(ISBLANK('Brd Link'!P17),"NA",'Brd Link'!P17)</f>
        <v>0</v>
      </c>
      <c r="Q21" s="670">
        <f t="shared" si="1"/>
        <v>844807.3592044278</v>
      </c>
      <c r="R21" s="670">
        <f t="shared" si="0"/>
        <v>43</v>
      </c>
    </row>
    <row r="22" spans="1:18" s="6" customFormat="1" ht="15.75">
      <c r="A22" s="666">
        <v>1975</v>
      </c>
      <c r="B22" s="851">
        <f>IF(ISBLANK('Brd Link'!B23),"NA",'Brd Link'!B23)</f>
        <v>0</v>
      </c>
      <c r="C22" s="851">
        <f>IF(ISBLANK('Brd Link'!C22),"NA",'Brd Link'!C22)</f>
        <v>1105.0508616488651</v>
      </c>
      <c r="D22" s="851">
        <f>IF(ISBLANK('Brd Link'!D22),"NA",'Brd Link'!D22)</f>
        <v>1050.2407834862013</v>
      </c>
      <c r="E22" s="851">
        <f>IF(ISBLANK('Brd Link'!E21),"NA",'Brd Link'!E21)</f>
        <v>3273.3156656187944</v>
      </c>
      <c r="F22" s="851">
        <f>IF(ISBLANK('Brd Link'!F21),"NA",'Brd Link'!F21)</f>
        <v>48348.917227885802</v>
      </c>
      <c r="G22" s="851">
        <f>IF(ISBLANK('Brd Link'!G21),"NA",'Brd Link'!G21)</f>
        <v>0</v>
      </c>
      <c r="H22" s="851">
        <f>IF(ISBLANK('Brd Link'!H20),"NA",'Brd Link'!H20)</f>
        <v>0</v>
      </c>
      <c r="I22" s="851">
        <f>IF(ISBLANK('Brd Link'!I20),"NA",'Brd Link'!I20)</f>
        <v>346614.00262167363</v>
      </c>
      <c r="J22" s="851">
        <f>IF(ISBLANK('Brd Link'!J20),"NA",'Brd Link'!J20)</f>
        <v>15225.522652573043</v>
      </c>
      <c r="K22" s="851">
        <f>IF(ISBLANK('Brd Link'!K19),"NA",'Brd Link'!K19)</f>
        <v>757.06156310210758</v>
      </c>
      <c r="L22" s="851">
        <f>IF(ISBLANK('Brd Link'!L19),"NA",'Brd Link'!L19)</f>
        <v>107192.1125768756</v>
      </c>
      <c r="M22" s="851">
        <f>IF(ISBLANK('Brd Link'!M19),"NA",'Brd Link'!M19)</f>
        <v>0</v>
      </c>
      <c r="N22" s="851">
        <f>IF(ISBLANK('Brd Link'!N18),"NA",'Brd Link'!N18)</f>
        <v>0</v>
      </c>
      <c r="O22" s="851">
        <f>IF(ISBLANK('Brd Link'!O18),"NA",'Brd Link'!O18)</f>
        <v>0</v>
      </c>
      <c r="P22" s="851">
        <f>IF(ISBLANK('Brd Link'!P18),"NA",'Brd Link'!P18)</f>
        <v>149.85136094392175</v>
      </c>
      <c r="Q22" s="670">
        <f t="shared" si="1"/>
        <v>523716.07531380799</v>
      </c>
      <c r="R22" s="670">
        <f t="shared" si="0"/>
        <v>49</v>
      </c>
    </row>
    <row r="23" spans="1:18" s="6" customFormat="1" ht="15.75">
      <c r="A23" s="666">
        <v>1976</v>
      </c>
      <c r="B23" s="851">
        <f>IF(ISBLANK('Brd Link'!B24),"NA",'Brd Link'!B24)</f>
        <v>0</v>
      </c>
      <c r="C23" s="851">
        <f>IF(ISBLANK('Brd Link'!C23),"NA",'Brd Link'!C23)</f>
        <v>2993.2049594594878</v>
      </c>
      <c r="D23" s="851">
        <f>IF(ISBLANK('Brd Link'!D23),"NA",'Brd Link'!D23)</f>
        <v>1526.6333920158568</v>
      </c>
      <c r="E23" s="851">
        <f>IF(ISBLANK('Brd Link'!E22),"NA",'Brd Link'!E22)</f>
        <v>12447.849019260784</v>
      </c>
      <c r="F23" s="851">
        <f>IF(ISBLANK('Brd Link'!F22),"NA",'Brd Link'!F22)</f>
        <v>140037.97254138521</v>
      </c>
      <c r="G23" s="851">
        <f>IF(ISBLANK('Brd Link'!G22),"NA",'Brd Link'!G22)</f>
        <v>910.46522791760765</v>
      </c>
      <c r="H23" s="851">
        <f>IF(ISBLANK('Brd Link'!H21),"NA",'Brd Link'!H21)</f>
        <v>0</v>
      </c>
      <c r="I23" s="851">
        <f>IF(ISBLANK('Brd Link'!I21),"NA",'Brd Link'!I21)</f>
        <v>940919.76351097296</v>
      </c>
      <c r="J23" s="851">
        <f>IF(ISBLANK('Brd Link'!J21),"NA",'Brd Link'!J21)</f>
        <v>9694.0864151689784</v>
      </c>
      <c r="K23" s="851">
        <f>IF(ISBLANK('Brd Link'!K20),"NA",'Brd Link'!K20)</f>
        <v>1745.9354876396906</v>
      </c>
      <c r="L23" s="851">
        <f>IF(ISBLANK('Brd Link'!L20),"NA",'Brd Link'!L20)</f>
        <v>27802.081981397347</v>
      </c>
      <c r="M23" s="851">
        <f>IF(ISBLANK('Brd Link'!M20),"NA",'Brd Link'!M20)</f>
        <v>455.23261395880382</v>
      </c>
      <c r="N23" s="851">
        <f>IF(ISBLANK('Brd Link'!N19),"NA",'Brd Link'!N19)</f>
        <v>0</v>
      </c>
      <c r="O23" s="851">
        <f>IF(ISBLANK('Brd Link'!O19),"NA",'Brd Link'!O19)</f>
        <v>0</v>
      </c>
      <c r="P23" s="851">
        <f>IF(ISBLANK('Brd Link'!P19),"NA",'Brd Link'!P19)</f>
        <v>0</v>
      </c>
      <c r="Q23" s="670">
        <f t="shared" si="1"/>
        <v>1138533.2251491768</v>
      </c>
      <c r="R23" s="670">
        <f t="shared" si="0"/>
        <v>39</v>
      </c>
    </row>
    <row r="24" spans="1:18" s="6" customFormat="1" ht="15.75">
      <c r="A24" s="666">
        <v>1977</v>
      </c>
      <c r="B24" s="851">
        <f>IF(ISBLANK('Brd Link'!B25),"NA",'Brd Link'!B25)</f>
        <v>0</v>
      </c>
      <c r="C24" s="851">
        <f>IF(ISBLANK('Brd Link'!C24),"NA",'Brd Link'!C24)</f>
        <v>548.40546129973586</v>
      </c>
      <c r="D24" s="851">
        <f>IF(ISBLANK('Brd Link'!D24),"NA",'Brd Link'!D24)</f>
        <v>7552.185255105921</v>
      </c>
      <c r="E24" s="851">
        <f>IF(ISBLANK('Brd Link'!E23),"NA",'Brd Link'!E23)</f>
        <v>27374.099996765071</v>
      </c>
      <c r="F24" s="851">
        <f>IF(ISBLANK('Brd Link'!F23),"NA",'Brd Link'!F23)</f>
        <v>30330.912651635219</v>
      </c>
      <c r="G24" s="851">
        <f>IF(ISBLANK('Brd Link'!G23),"NA",'Brd Link'!G23)</f>
        <v>0</v>
      </c>
      <c r="H24" s="851">
        <f>IF(ISBLANK('Brd Link'!H22),"NA",'Brd Link'!H22)</f>
        <v>0</v>
      </c>
      <c r="I24" s="851">
        <f>IF(ISBLANK('Brd Link'!I22),"NA",'Brd Link'!I22)</f>
        <v>846188.38728043251</v>
      </c>
      <c r="J24" s="851">
        <f>IF(ISBLANK('Brd Link'!J22),"NA",'Brd Link'!J22)</f>
        <v>7117.1684145828576</v>
      </c>
      <c r="K24" s="851">
        <f>IF(ISBLANK('Brd Link'!K21),"NA",'Brd Link'!K21)</f>
        <v>8662.2575356646121</v>
      </c>
      <c r="L24" s="851">
        <f>IF(ISBLANK('Brd Link'!L21),"NA",'Brd Link'!L21)</f>
        <v>84399.273431889495</v>
      </c>
      <c r="M24" s="851">
        <f>IF(ISBLANK('Brd Link'!M21),"NA",'Brd Link'!M21)</f>
        <v>0</v>
      </c>
      <c r="N24" s="851">
        <f>IF(ISBLANK('Brd Link'!N20),"NA",'Brd Link'!N20)</f>
        <v>0</v>
      </c>
      <c r="O24" s="851">
        <f>IF(ISBLANK('Brd Link'!O20),"NA",'Brd Link'!O20)</f>
        <v>0</v>
      </c>
      <c r="P24" s="851">
        <f>IF(ISBLANK('Brd Link'!P20),"NA",'Brd Link'!P20)</f>
        <v>0</v>
      </c>
      <c r="Q24" s="670">
        <f t="shared" si="1"/>
        <v>1012172.6900273754</v>
      </c>
      <c r="R24" s="670">
        <f t="shared" si="0"/>
        <v>42</v>
      </c>
    </row>
    <row r="25" spans="1:18" s="6" customFormat="1" ht="15.75">
      <c r="A25" s="666">
        <v>1978</v>
      </c>
      <c r="B25" s="851">
        <f>IF(ISBLANK('Brd Link'!B26),"NA",'Brd Link'!B26)</f>
        <v>0</v>
      </c>
      <c r="C25" s="851">
        <f>IF(ISBLANK('Brd Link'!C25),"NA",'Brd Link'!C25)</f>
        <v>11.538919019497669</v>
      </c>
      <c r="D25" s="851">
        <f>IF(ISBLANK('Brd Link'!D25),"NA",'Brd Link'!D25)</f>
        <v>986.21043066018365</v>
      </c>
      <c r="E25" s="851">
        <f>IF(ISBLANK('Brd Link'!E24),"NA",'Brd Link'!E24)</f>
        <v>7173.3894483794302</v>
      </c>
      <c r="F25" s="851">
        <f>IF(ISBLANK('Brd Link'!F24),"NA",'Brd Link'!F24)</f>
        <v>154457.91935439411</v>
      </c>
      <c r="G25" s="851">
        <f>IF(ISBLANK('Brd Link'!G24),"NA",'Brd Link'!G24)</f>
        <v>2.0642847333465979</v>
      </c>
      <c r="H25" s="851">
        <f>IF(ISBLANK('Brd Link'!H23),"NA",'Brd Link'!H23)</f>
        <v>0</v>
      </c>
      <c r="I25" s="851">
        <f>IF(ISBLANK('Brd Link'!I23),"NA",'Brd Link'!I23)</f>
        <v>297364.96532358415</v>
      </c>
      <c r="J25" s="851">
        <f>IF(ISBLANK('Brd Link'!J23),"NA",'Brd Link'!J23)</f>
        <v>18712.741107786904</v>
      </c>
      <c r="K25" s="851">
        <f>IF(ISBLANK('Brd Link'!K22),"NA",'Brd Link'!K22)</f>
        <v>1870.2419684120191</v>
      </c>
      <c r="L25" s="851">
        <f>IF(ISBLANK('Brd Link'!L22),"NA",'Brd Link'!L22)</f>
        <v>33678.805424549719</v>
      </c>
      <c r="M25" s="851">
        <f>IF(ISBLANK('Brd Link'!M22),"NA",'Brd Link'!M22)</f>
        <v>0</v>
      </c>
      <c r="N25" s="851">
        <f>IF(ISBLANK('Brd Link'!N21),"NA",'Brd Link'!N21)</f>
        <v>0</v>
      </c>
      <c r="O25" s="851">
        <f>IF(ISBLANK('Brd Link'!O21),"NA",'Brd Link'!O21)</f>
        <v>0</v>
      </c>
      <c r="P25" s="851">
        <f>IF(ISBLANK('Brd Link'!P21),"NA",'Brd Link'!P21)</f>
        <v>0</v>
      </c>
      <c r="Q25" s="670">
        <f>SUM(B25:P25)</f>
        <v>514257.87626151933</v>
      </c>
      <c r="R25" s="670">
        <f t="shared" si="0"/>
        <v>50</v>
      </c>
    </row>
    <row r="26" spans="1:18" s="6" customFormat="1" ht="15.75">
      <c r="A26" s="666">
        <v>1979</v>
      </c>
      <c r="B26" s="851">
        <f>IF(ISBLANK('Brd Link'!B27),"NA",'Brd Link'!B27)</f>
        <v>0</v>
      </c>
      <c r="C26" s="851">
        <f>IF(ISBLANK('Brd Link'!C26),"NA",'Brd Link'!C26)</f>
        <v>4.6119970666103276</v>
      </c>
      <c r="D26" s="851">
        <f>IF(ISBLANK('Brd Link'!D26),"NA",'Brd Link'!D26)</f>
        <v>4292.0722179887089</v>
      </c>
      <c r="E26" s="851">
        <f>IF(ISBLANK('Brd Link'!E25),"NA",'Brd Link'!E25)</f>
        <v>10490.596275512966</v>
      </c>
      <c r="F26" s="851">
        <f>IF(ISBLANK('Brd Link'!F25),"NA",'Brd Link'!F25)</f>
        <v>68722.812745743839</v>
      </c>
      <c r="G26" s="851">
        <f>IF(ISBLANK('Brd Link'!G25),"NA",'Brd Link'!G25)</f>
        <v>0</v>
      </c>
      <c r="H26" s="851">
        <f>IF(ISBLANK('Brd Link'!H24),"NA",'Brd Link'!H24)</f>
        <v>0</v>
      </c>
      <c r="I26" s="851">
        <f>IF(ISBLANK('Brd Link'!I24),"NA",'Brd Link'!I24)</f>
        <v>442734.39909796033</v>
      </c>
      <c r="J26" s="851">
        <f>IF(ISBLANK('Brd Link'!J24),"NA",'Brd Link'!J24)</f>
        <v>19045.427762092004</v>
      </c>
      <c r="K26" s="851">
        <f>IF(ISBLANK('Brd Link'!K23),"NA",'Brd Link'!K23)</f>
        <v>0</v>
      </c>
      <c r="L26" s="851">
        <f>IF(ISBLANK('Brd Link'!L23),"NA",'Brd Link'!L23)</f>
        <v>83550.106051407231</v>
      </c>
      <c r="M26" s="851">
        <f>IF(ISBLANK('Brd Link'!M23),"NA",'Brd Link'!M23)</f>
        <v>0</v>
      </c>
      <c r="N26" s="851">
        <f>IF(ISBLANK('Brd Link'!N22),"NA",'Brd Link'!N22)</f>
        <v>0</v>
      </c>
      <c r="O26" s="851">
        <f>IF(ISBLANK('Brd Link'!O22),"NA",'Brd Link'!O22)</f>
        <v>0</v>
      </c>
      <c r="P26" s="851">
        <f>IF(ISBLANK('Brd Link'!P22),"NA",'Brd Link'!P22)</f>
        <v>0</v>
      </c>
      <c r="Q26" s="670">
        <f t="shared" si="1"/>
        <v>628840.02614777163</v>
      </c>
      <c r="R26" s="670">
        <f t="shared" si="0"/>
        <v>48</v>
      </c>
    </row>
    <row r="27" spans="1:18" s="6" customFormat="1" ht="15.75">
      <c r="A27" s="666">
        <v>1980</v>
      </c>
      <c r="B27" s="851">
        <f>IF(ISBLANK('Brd Link'!B28),"NA",'Brd Link'!B28)</f>
        <v>0</v>
      </c>
      <c r="C27" s="851">
        <f>IF(ISBLANK('Brd Link'!C27),"NA",'Brd Link'!C27)</f>
        <v>5360.6418899380178</v>
      </c>
      <c r="D27" s="851">
        <f>IF(ISBLANK('Brd Link'!D27),"NA",'Brd Link'!D27)</f>
        <v>5360.6418899380178</v>
      </c>
      <c r="E27" s="851">
        <f>IF(ISBLANK('Brd Link'!E26),"NA",'Brd Link'!E26)</f>
        <v>5360.6418899380178</v>
      </c>
      <c r="F27" s="851">
        <f>IF(ISBLANK('Brd Link'!F26),"NA",'Brd Link'!F26)</f>
        <v>173715.68474284798</v>
      </c>
      <c r="G27" s="851">
        <f>IF(ISBLANK('Brd Link'!G26),"NA",'Brd Link'!G26)</f>
        <v>0</v>
      </c>
      <c r="H27" s="851">
        <f>IF(ISBLANK('Brd Link'!H25),"NA",'Brd Link'!H25)</f>
        <v>0</v>
      </c>
      <c r="I27" s="851">
        <f>IF(ISBLANK('Brd Link'!I25),"NA",'Brd Link'!I25)</f>
        <v>410835.62987088464</v>
      </c>
      <c r="J27" s="851">
        <f>IF(ISBLANK('Brd Link'!J25),"NA",'Brd Link'!J25)</f>
        <v>30063.059247625344</v>
      </c>
      <c r="K27" s="851">
        <f>IF(ISBLANK('Brd Link'!K24),"NA",'Brd Link'!K24)</f>
        <v>2680.3209449690089</v>
      </c>
      <c r="L27" s="851">
        <f>IF(ISBLANK('Brd Link'!L24),"NA",'Brd Link'!L24)</f>
        <v>30063.059247625344</v>
      </c>
      <c r="M27" s="851">
        <f>IF(ISBLANK('Brd Link'!M24),"NA",'Brd Link'!M24)</f>
        <v>0</v>
      </c>
      <c r="N27" s="851">
        <f>IF(ISBLANK('Brd Link'!N23),"NA",'Brd Link'!N23)</f>
        <v>0</v>
      </c>
      <c r="O27" s="851">
        <f>IF(ISBLANK('Brd Link'!O23),"NA",'Brd Link'!O23)</f>
        <v>0</v>
      </c>
      <c r="P27" s="851">
        <f>IF(ISBLANK('Brd Link'!P23),"NA",'Brd Link'!P23)</f>
        <v>0</v>
      </c>
      <c r="Q27" s="670">
        <f t="shared" si="1"/>
        <v>663439.67972376628</v>
      </c>
      <c r="R27" s="670">
        <f t="shared" si="0"/>
        <v>47</v>
      </c>
    </row>
    <row r="28" spans="1:18" s="6" customFormat="1" ht="15.75">
      <c r="A28" s="892">
        <v>1981</v>
      </c>
      <c r="B28" s="851">
        <f>IF(ISBLANK('Brd Link'!B29),"NA",'Brd Link'!B29)</f>
        <v>0</v>
      </c>
      <c r="C28" s="851">
        <f>IF(ISBLANK('Brd Link'!C28),"NA",'Brd Link'!C28)</f>
        <v>5156.6596589333894</v>
      </c>
      <c r="D28" s="851">
        <f>IF(ISBLANK('Brd Link'!D28),"NA",'Brd Link'!D28)</f>
        <v>79535.13866318154</v>
      </c>
      <c r="E28" s="851">
        <f>IF(ISBLANK('Brd Link'!E27),"NA",'Brd Link'!E27)</f>
        <v>206574.75022171927</v>
      </c>
      <c r="F28" s="851">
        <f>IF(ISBLANK('Brd Link'!F27),"NA",'Brd Link'!F27)</f>
        <v>135148.94242353513</v>
      </c>
      <c r="G28" s="851">
        <f>IF(ISBLANK('Brd Link'!G27),"NA",'Brd Link'!G27)</f>
        <v>0</v>
      </c>
      <c r="H28" s="851">
        <f>IF(ISBLANK('Brd Link'!H26),"NA",'Brd Link'!H26)</f>
        <v>0</v>
      </c>
      <c r="I28" s="851">
        <f>IF(ISBLANK('Brd Link'!I26),"NA",'Brd Link'!I26)</f>
        <v>897075.92530656559</v>
      </c>
      <c r="J28" s="851">
        <f>IF(ISBLANK('Brd Link'!J26),"NA",'Brd Link'!J26)</f>
        <v>11995.13963887812</v>
      </c>
      <c r="K28" s="851">
        <f>IF(ISBLANK('Brd Link'!K25),"NA",'Brd Link'!K25)</f>
        <v>0</v>
      </c>
      <c r="L28" s="851">
        <f>IF(ISBLANK('Brd Link'!L25),"NA",'Brd Link'!L25)</f>
        <v>66636.927918558882</v>
      </c>
      <c r="M28" s="851">
        <f>IF(ISBLANK('Brd Link'!M25),"NA",'Brd Link'!M25)</f>
        <v>0</v>
      </c>
      <c r="N28" s="851">
        <f>IF(ISBLANK('Brd Link'!N24),"NA",'Brd Link'!N24)</f>
        <v>0</v>
      </c>
      <c r="O28" s="851">
        <f>IF(ISBLANK('Brd Link'!O24),"NA",'Brd Link'!O24)</f>
        <v>0</v>
      </c>
      <c r="P28" s="851">
        <f>IF(ISBLANK('Brd Link'!P24),"NA",'Brd Link'!P24)</f>
        <v>1332.7932932086783</v>
      </c>
      <c r="Q28" s="670">
        <f t="shared" si="1"/>
        <v>1403456.2771245805</v>
      </c>
      <c r="R28" s="670">
        <f t="shared" si="0"/>
        <v>31</v>
      </c>
    </row>
    <row r="29" spans="1:18" s="6" customFormat="1" ht="15.75">
      <c r="A29" s="666">
        <v>1982</v>
      </c>
      <c r="B29" s="851">
        <f>IF(ISBLANK('Brd Link'!B30),"NA",'Brd Link'!B30)</f>
        <v>0</v>
      </c>
      <c r="C29" s="851">
        <f>IF(ISBLANK('Brd Link'!C29),"NA",'Brd Link'!C29)</f>
        <v>24216.593045202982</v>
      </c>
      <c r="D29" s="851">
        <f>IF(ISBLANK('Brd Link'!D29),"NA",'Brd Link'!D29)</f>
        <v>16869.513332793169</v>
      </c>
      <c r="E29" s="851">
        <f>IF(ISBLANK('Brd Link'!E28),"NA",'Brd Link'!E28)</f>
        <v>49451.536070921153</v>
      </c>
      <c r="F29" s="851">
        <f>IF(ISBLANK('Brd Link'!F28),"NA",'Brd Link'!F28)</f>
        <v>359995.48750384717</v>
      </c>
      <c r="G29" s="851">
        <f>IF(ISBLANK('Brd Link'!G28),"NA",'Brd Link'!G28)</f>
        <v>124.40380967065038</v>
      </c>
      <c r="H29" s="851">
        <f>IF(ISBLANK('Brd Link'!H27),"NA",'Brd Link'!H27)</f>
        <v>0</v>
      </c>
      <c r="I29" s="851">
        <f>IF(ISBLANK('Brd Link'!I27),"NA",'Brd Link'!I27)</f>
        <v>1351823.9406582871</v>
      </c>
      <c r="J29" s="851">
        <f>IF(ISBLANK('Brd Link'!J27),"NA",'Brd Link'!J27)</f>
        <v>25753.29183741381</v>
      </c>
      <c r="K29" s="851">
        <f>IF(ISBLANK('Brd Link'!K26),"NA",'Brd Link'!K26)</f>
        <v>1851.2235515194193</v>
      </c>
      <c r="L29" s="851">
        <f>IF(ISBLANK('Brd Link'!L26),"NA",'Brd Link'!L26)</f>
        <v>76883.841078144047</v>
      </c>
      <c r="M29" s="851">
        <f>IF(ISBLANK('Brd Link'!M26),"NA",'Brd Link'!M26)</f>
        <v>39.493272911317767</v>
      </c>
      <c r="N29" s="851">
        <f>IF(ISBLANK('Brd Link'!N25),"NA",'Brd Link'!N25)</f>
        <v>0</v>
      </c>
      <c r="O29" s="851">
        <f>IF(ISBLANK('Brd Link'!O25),"NA",'Brd Link'!O25)</f>
        <v>0</v>
      </c>
      <c r="P29" s="851">
        <f>IF(ISBLANK('Brd Link'!P25),"NA",'Brd Link'!P25)</f>
        <v>35.54394562018593</v>
      </c>
      <c r="Q29" s="670">
        <f t="shared" si="1"/>
        <v>1907044.8681063312</v>
      </c>
      <c r="R29" s="670">
        <f t="shared" si="0"/>
        <v>12</v>
      </c>
    </row>
    <row r="30" spans="1:18" s="6" customFormat="1" ht="15.75">
      <c r="A30" s="666">
        <v>1983</v>
      </c>
      <c r="B30" s="851">
        <f>IF(ISBLANK('Brd Link'!B31),"NA",'Brd Link'!B31)</f>
        <v>0</v>
      </c>
      <c r="C30" s="851">
        <f>IF(ISBLANK('Brd Link'!C30),"NA",'Brd Link'!C30)</f>
        <v>5295.614144041022</v>
      </c>
      <c r="D30" s="851">
        <f>IF(ISBLANK('Brd Link'!D30),"NA",'Brd Link'!D30)</f>
        <v>25739.438344923765</v>
      </c>
      <c r="E30" s="851">
        <f>IF(ISBLANK('Brd Link'!E29),"NA",'Brd Link'!E29)</f>
        <v>81377.595887697578</v>
      </c>
      <c r="F30" s="851">
        <f>IF(ISBLANK('Brd Link'!F29),"NA",'Brd Link'!F29)</f>
        <v>346502.19282529014</v>
      </c>
      <c r="G30" s="851">
        <f>IF(ISBLANK('Brd Link'!G29),"NA",'Brd Link'!G29)</f>
        <v>189.16879493134908</v>
      </c>
      <c r="H30" s="851">
        <f>IF(ISBLANK('Brd Link'!H28),"NA",'Brd Link'!H28)</f>
        <v>65.362721435402349</v>
      </c>
      <c r="I30" s="851">
        <f>IF(ISBLANK('Brd Link'!I28),"NA",'Brd Link'!I28)</f>
        <v>817109.74979398493</v>
      </c>
      <c r="J30" s="851">
        <f>IF(ISBLANK('Brd Link'!J28),"NA",'Brd Link'!J28)</f>
        <v>30862.418481763816</v>
      </c>
      <c r="K30" s="851">
        <f>IF(ISBLANK('Brd Link'!K27),"NA",'Brd Link'!K27)</f>
        <v>1532.2560493135638</v>
      </c>
      <c r="L30" s="851">
        <f>IF(ISBLANK('Brd Link'!L27),"NA",'Brd Link'!L27)</f>
        <v>143559.06804372478</v>
      </c>
      <c r="M30" s="851">
        <f>IF(ISBLANK('Brd Link'!M27),"NA",'Brd Link'!M27)</f>
        <v>0</v>
      </c>
      <c r="N30" s="851">
        <f>IF(ISBLANK('Brd Link'!N26),"NA",'Brd Link'!N26)</f>
        <v>0</v>
      </c>
      <c r="O30" s="851">
        <f>IF(ISBLANK('Brd Link'!O26),"NA",'Brd Link'!O26)</f>
        <v>0</v>
      </c>
      <c r="P30" s="851">
        <f>IF(ISBLANK('Brd Link'!P26),"NA",'Brd Link'!P26)</f>
        <v>0</v>
      </c>
      <c r="Q30" s="670">
        <f t="shared" si="1"/>
        <v>1452232.8650871066</v>
      </c>
      <c r="R30" s="670">
        <f t="shared" si="0"/>
        <v>29</v>
      </c>
    </row>
    <row r="31" spans="1:18" s="6" customFormat="1" ht="15.75">
      <c r="A31" s="666">
        <v>1984</v>
      </c>
      <c r="B31" s="851">
        <f>IF(ISBLANK('Brd Link'!B32),"NA",'Brd Link'!B32)</f>
        <v>0</v>
      </c>
      <c r="C31" s="851">
        <f>IF(ISBLANK('Brd Link'!C31),"NA",'Brd Link'!C31)</f>
        <v>7112.6634510228778</v>
      </c>
      <c r="D31" s="851">
        <f>IF(ISBLANK('Brd Link'!D31),"NA",'Brd Link'!D31)</f>
        <v>4780.0090155024582</v>
      </c>
      <c r="E31" s="851">
        <f>IF(ISBLANK('Brd Link'!E30),"NA",'Brd Link'!E30)</f>
        <v>17078.08927074348</v>
      </c>
      <c r="F31" s="851">
        <f>IF(ISBLANK('Brd Link'!F30),"NA",'Brd Link'!F30)</f>
        <v>203458.33386630402</v>
      </c>
      <c r="G31" s="851">
        <f>IF(ISBLANK('Brd Link'!G30),"NA",'Brd Link'!G30)</f>
        <v>98.793028788041056</v>
      </c>
      <c r="H31" s="851">
        <f>IF(ISBLANK('Brd Link'!H29),"NA",'Brd Link'!H29)</f>
        <v>175.11494527526887</v>
      </c>
      <c r="I31" s="851">
        <f>IF(ISBLANK('Brd Link'!I29),"NA",'Brd Link'!I29)</f>
        <v>1424421.7932741994</v>
      </c>
      <c r="J31" s="851">
        <f>IF(ISBLANK('Brd Link'!J29),"NA",'Brd Link'!J29)</f>
        <v>16495.369513287449</v>
      </c>
      <c r="K31" s="851">
        <f>IF(ISBLANK('Brd Link'!K28),"NA",'Brd Link'!K28)</f>
        <v>2280.7731817220961</v>
      </c>
      <c r="L31" s="851">
        <f>IF(ISBLANK('Brd Link'!L28),"NA",'Brd Link'!L28)</f>
        <v>137639.34485561514</v>
      </c>
      <c r="M31" s="851">
        <f>IF(ISBLANK('Brd Link'!M28),"NA",'Brd Link'!M28)</f>
        <v>566.37176586172586</v>
      </c>
      <c r="N31" s="851">
        <f>IF(ISBLANK('Brd Link'!N27),"NA",'Brd Link'!N27)</f>
        <v>0</v>
      </c>
      <c r="O31" s="851">
        <f>IF(ISBLANK('Brd Link'!O27),"NA",'Brd Link'!O27)</f>
        <v>283.18588293086248</v>
      </c>
      <c r="P31" s="851">
        <f>IF(ISBLANK('Brd Link'!P27),"NA",'Brd Link'!P27)</f>
        <v>728.47817234511717</v>
      </c>
      <c r="Q31" s="670">
        <f t="shared" si="1"/>
        <v>1815118.3202235978</v>
      </c>
      <c r="R31" s="670">
        <f t="shared" si="0"/>
        <v>15</v>
      </c>
    </row>
    <row r="32" spans="1:18" s="6" customFormat="1" ht="15.75">
      <c r="A32" s="666">
        <v>1985</v>
      </c>
      <c r="B32" s="851">
        <f>IF(ISBLANK('Brd Link'!B33),"NA",'Brd Link'!B33)</f>
        <v>300.97316207870722</v>
      </c>
      <c r="C32" s="851">
        <f>IF(ISBLANK('Brd Link'!C32),"NA",'Brd Link'!C32)</f>
        <v>53085.107367813187</v>
      </c>
      <c r="D32" s="851">
        <f>IF(ISBLANK('Brd Link'!D32),"NA",'Brd Link'!D32)</f>
        <v>31108.622740349845</v>
      </c>
      <c r="E32" s="851">
        <f>IF(ISBLANK('Brd Link'!E31),"NA",'Brd Link'!E31)</f>
        <v>117912.62915245809</v>
      </c>
      <c r="F32" s="851">
        <f>IF(ISBLANK('Brd Link'!F31),"NA",'Brd Link'!F31)</f>
        <v>157083.49997006214</v>
      </c>
      <c r="G32" s="851">
        <f>IF(ISBLANK('Brd Link'!G31),"NA",'Brd Link'!G31)</f>
        <v>863.25635634978084</v>
      </c>
      <c r="H32" s="851">
        <f>IF(ISBLANK('Brd Link'!H30),"NA",'Brd Link'!H30)</f>
        <v>1152.0210366054866</v>
      </c>
      <c r="I32" s="851">
        <f>IF(ISBLANK('Brd Link'!I30),"NA",'Brd Link'!I30)</f>
        <v>1044206.836082815</v>
      </c>
      <c r="J32" s="851">
        <f>IF(ISBLANK('Brd Link'!J30),"NA",'Brd Link'!J30)</f>
        <v>26421.811721019738</v>
      </c>
      <c r="K32" s="851">
        <f>IF(ISBLANK('Brd Link'!K29),"NA",'Brd Link'!K29)</f>
        <v>12281.719500893463</v>
      </c>
      <c r="L32" s="851">
        <f>IF(ISBLANK('Brd Link'!L29),"NA",'Brd Link'!L29)</f>
        <v>169244.34278971035</v>
      </c>
      <c r="M32" s="851">
        <f>IF(ISBLANK('Brd Link'!M29),"NA",'Brd Link'!M29)</f>
        <v>0</v>
      </c>
      <c r="N32" s="851">
        <f>IF(ISBLANK('Brd Link'!N28),"NA",'Brd Link'!N28)</f>
        <v>476.40449689195526</v>
      </c>
      <c r="O32" s="851">
        <f>IF(ISBLANK('Brd Link'!O28),"NA",'Brd Link'!O28)</f>
        <v>644.11090618035826</v>
      </c>
      <c r="P32" s="851">
        <f>IF(ISBLANK('Brd Link'!P28),"NA",'Brd Link'!P28)</f>
        <v>0</v>
      </c>
      <c r="Q32" s="670">
        <f t="shared" si="1"/>
        <v>1614781.335283228</v>
      </c>
      <c r="R32" s="670">
        <f t="shared" si="0"/>
        <v>23</v>
      </c>
    </row>
    <row r="33" spans="1:18" s="6" customFormat="1" ht="15.75">
      <c r="A33" s="666">
        <v>1986</v>
      </c>
      <c r="B33" s="851">
        <f>IF(ISBLANK('Brd Link'!B34),"NA",'Brd Link'!B34)</f>
        <v>6.5741882673942715</v>
      </c>
      <c r="C33" s="851">
        <f>IF(ISBLANK('Brd Link'!C33),"NA",'Brd Link'!C33)</f>
        <v>16178.98562348138</v>
      </c>
      <c r="D33" s="851">
        <f>IF(ISBLANK('Brd Link'!D33),"NA",'Brd Link'!D33)</f>
        <v>18917.032725451929</v>
      </c>
      <c r="E33" s="851">
        <f>IF(ISBLANK('Brd Link'!E32),"NA",'Brd Link'!E32)</f>
        <v>130462.91282755243</v>
      </c>
      <c r="F33" s="851">
        <f>IF(ISBLANK('Brd Link'!F32),"NA",'Brd Link'!F32)</f>
        <v>292198.40738779912</v>
      </c>
      <c r="G33" s="851">
        <f>IF(ISBLANK('Brd Link'!G32),"NA",'Brd Link'!G32)</f>
        <v>6.5741882673942715</v>
      </c>
      <c r="H33" s="851">
        <f>IF(ISBLANK('Brd Link'!H31),"NA",'Brd Link'!H31)</f>
        <v>76.149183391275628</v>
      </c>
      <c r="I33" s="851">
        <f>IF(ISBLANK('Brd Link'!I31),"NA",'Brd Link'!I31)</f>
        <v>729707.86718836357</v>
      </c>
      <c r="J33" s="851">
        <f>IF(ISBLANK('Brd Link'!J31),"NA",'Brd Link'!J31)</f>
        <v>8621.2592318647967</v>
      </c>
      <c r="K33" s="851">
        <f>IF(ISBLANK('Brd Link'!K30),"NA",'Brd Link'!K30)</f>
        <v>3101.5624396282619</v>
      </c>
      <c r="L33" s="851">
        <f>IF(ISBLANK('Brd Link'!L30),"NA",'Brd Link'!L30)</f>
        <v>154255.69752758573</v>
      </c>
      <c r="M33" s="851">
        <f>IF(ISBLANK('Brd Link'!M30),"NA",'Brd Link'!M30)</f>
        <v>0</v>
      </c>
      <c r="N33" s="851">
        <f>IF(ISBLANK('Brd Link'!N29),"NA",'Brd Link'!N29)</f>
        <v>0</v>
      </c>
      <c r="O33" s="851">
        <f>IF(ISBLANK('Brd Link'!O29),"NA",'Brd Link'!O29)</f>
        <v>152.00194670136537</v>
      </c>
      <c r="P33" s="851">
        <f>IF(ISBLANK('Brd Link'!P29),"NA",'Brd Link'!P29)</f>
        <v>244.00312496798176</v>
      </c>
      <c r="Q33" s="670">
        <f t="shared" si="1"/>
        <v>1353929.0275833225</v>
      </c>
      <c r="R33" s="670">
        <f t="shared" si="0"/>
        <v>32</v>
      </c>
    </row>
    <row r="34" spans="1:18" s="6" customFormat="1" ht="15.75">
      <c r="A34" s="666">
        <v>1987</v>
      </c>
      <c r="B34" s="851">
        <f>IF(ISBLANK('Brd Link'!B35),"NA",'Brd Link'!B35)</f>
        <v>212.57639168578251</v>
      </c>
      <c r="C34" s="851">
        <f>IF(ISBLANK('Brd Link'!C34),"NA",'Brd Link'!C34)</f>
        <v>8518.9756452433139</v>
      </c>
      <c r="D34" s="851">
        <f>IF(ISBLANK('Brd Link'!D34),"NA",'Brd Link'!D34)</f>
        <v>16049.892245765806</v>
      </c>
      <c r="E34" s="851">
        <f>IF(ISBLANK('Brd Link'!E33),"NA",'Brd Link'!E33)</f>
        <v>121863.40619494946</v>
      </c>
      <c r="F34" s="851">
        <f>IF(ISBLANK('Brd Link'!F33),"NA",'Brd Link'!F33)</f>
        <v>113889.25746653602</v>
      </c>
      <c r="G34" s="851">
        <f>IF(ISBLANK('Brd Link'!G33),"NA",'Brd Link'!G33)</f>
        <v>1028.800662257408</v>
      </c>
      <c r="H34" s="851">
        <f>IF(ISBLANK('Brd Link'!H32),"NA",'Brd Link'!H32)</f>
        <v>1096.7572172994639</v>
      </c>
      <c r="I34" s="851">
        <f>IF(ISBLANK('Brd Link'!I32),"NA",'Brd Link'!I32)</f>
        <v>1361112.3412895144</v>
      </c>
      <c r="J34" s="851">
        <f>IF(ISBLANK('Brd Link'!J32),"NA",'Brd Link'!J32)</f>
        <v>11104.369441085768</v>
      </c>
      <c r="K34" s="851">
        <f>IF(ISBLANK('Brd Link'!K31),"NA",'Brd Link'!K31)</f>
        <v>3720.9625728612473</v>
      </c>
      <c r="L34" s="851">
        <f>IF(ISBLANK('Brd Link'!L31),"NA",'Brd Link'!L31)</f>
        <v>96117.249082004084</v>
      </c>
      <c r="M34" s="851">
        <f>IF(ISBLANK('Brd Link'!M31),"NA",'Brd Link'!M31)</f>
        <v>0</v>
      </c>
      <c r="N34" s="851">
        <f>IF(ISBLANK('Brd Link'!N30),"NA",'Brd Link'!N30)</f>
        <v>0</v>
      </c>
      <c r="O34" s="851">
        <f>IF(ISBLANK('Brd Link'!O30),"NA",'Brd Link'!O30)</f>
        <v>504.76967502150137</v>
      </c>
      <c r="P34" s="851">
        <f>IF(ISBLANK('Brd Link'!P30),"NA",'Brd Link'!P30)</f>
        <v>0</v>
      </c>
      <c r="Q34" s="670">
        <f t="shared" si="1"/>
        <v>1735219.3578842245</v>
      </c>
      <c r="R34" s="670">
        <f t="shared" si="0"/>
        <v>20</v>
      </c>
    </row>
    <row r="35" spans="1:18" s="6" customFormat="1" ht="15.75">
      <c r="A35" s="666">
        <v>1988</v>
      </c>
      <c r="B35" s="851">
        <f>IF(ISBLANK('Brd Link'!B36),"NA",'Brd Link'!B36)</f>
        <v>0</v>
      </c>
      <c r="C35" s="851">
        <f>IF(ISBLANK('Brd Link'!C35),"NA",'Brd Link'!C35)</f>
        <v>10522.1265</v>
      </c>
      <c r="D35" s="851">
        <f>IF(ISBLANK('Brd Link'!D35),"NA",'Brd Link'!D35)</f>
        <v>36816.902552422027</v>
      </c>
      <c r="E35" s="851">
        <f>IF(ISBLANK('Brd Link'!E34),"NA",'Brd Link'!E34)</f>
        <v>95723.898052422024</v>
      </c>
      <c r="F35" s="851">
        <f>IF(ISBLANK('Brd Link'!F34),"NA",'Brd Link'!F34)</f>
        <v>294557.28228182066</v>
      </c>
      <c r="G35" s="851">
        <f>IF(ISBLANK('Brd Link'!G34),"NA",'Brd Link'!G34)</f>
        <v>0</v>
      </c>
      <c r="H35" s="851">
        <f>IF(ISBLANK('Brd Link'!H33),"NA",'Brd Link'!H33)</f>
        <v>1756.8509759558276</v>
      </c>
      <c r="I35" s="851">
        <f>IF(ISBLANK('Brd Link'!I33),"NA",'Brd Link'!I33)</f>
        <v>536879.18023254443</v>
      </c>
      <c r="J35" s="851">
        <f>IF(ISBLANK('Brd Link'!J33),"NA",'Brd Link'!J33)</f>
        <v>19073.9255672049</v>
      </c>
      <c r="K35" s="851">
        <f>IF(ISBLANK('Brd Link'!K32),"NA",'Brd Link'!K32)</f>
        <v>8465.8838797791377</v>
      </c>
      <c r="L35" s="851">
        <f>IF(ISBLANK('Brd Link'!L32),"NA",'Brd Link'!L32)</f>
        <v>72736.613254630647</v>
      </c>
      <c r="M35" s="851">
        <f>IF(ISBLANK('Brd Link'!M32),"NA",'Brd Link'!M32)</f>
        <v>0</v>
      </c>
      <c r="N35" s="851">
        <f>IF(ISBLANK('Brd Link'!N31),"NA",'Brd Link'!N31)</f>
        <v>0</v>
      </c>
      <c r="O35" s="851">
        <f>IF(ISBLANK('Brd Link'!O31),"NA",'Brd Link'!O31)</f>
        <v>1074.3079759558277</v>
      </c>
      <c r="P35" s="851">
        <f>IF(ISBLANK('Brd Link'!P31),"NA",'Brd Link'!P31)</f>
        <v>10.663</v>
      </c>
      <c r="Q35" s="670">
        <f t="shared" si="1"/>
        <v>1077617.6342727353</v>
      </c>
      <c r="R35" s="670">
        <f t="shared" si="0"/>
        <v>40</v>
      </c>
    </row>
    <row r="36" spans="1:18" s="6" customFormat="1" ht="15.75">
      <c r="A36" s="666">
        <v>1989</v>
      </c>
      <c r="B36" s="851">
        <f>IF(ISBLANK('Brd Link'!B37),"NA",'Brd Link'!B37)</f>
        <v>721.29837842492918</v>
      </c>
      <c r="C36" s="851">
        <f>IF(ISBLANK('Brd Link'!C36),"NA",'Brd Link'!C36)</f>
        <v>19519.513784249291</v>
      </c>
      <c r="D36" s="851">
        <f>IF(ISBLANK('Brd Link'!D36),"NA",'Brd Link'!D36)</f>
        <v>8416.2126489745042</v>
      </c>
      <c r="E36" s="851">
        <f>IF(ISBLANK('Brd Link'!E35),"NA",'Brd Link'!E35)</f>
        <v>56813.475648974505</v>
      </c>
      <c r="F36" s="851">
        <f>IF(ISBLANK('Brd Link'!F35),"NA",'Brd Link'!F35)</f>
        <v>240741.58041960336</v>
      </c>
      <c r="G36" s="851">
        <f>IF(ISBLANK('Brd Link'!G35),"NA",'Brd Link'!G35)</f>
        <v>1240.8</v>
      </c>
      <c r="H36" s="851">
        <f>IF(ISBLANK('Brd Link'!H34),"NA",'Brd Link'!H34)</f>
        <v>1028.674</v>
      </c>
      <c r="I36" s="851">
        <f>IF(ISBLANK('Brd Link'!I34),"NA",'Brd Link'!I34)</f>
        <v>1012944.0742998301</v>
      </c>
      <c r="J36" s="851">
        <f>IF(ISBLANK('Brd Link'!J34),"NA",'Brd Link'!J34)</f>
        <v>19878.74078424929</v>
      </c>
      <c r="K36" s="851">
        <f>IF(ISBLANK('Brd Link'!K33),"NA",'Brd Link'!K33)</f>
        <v>2675.2463784249294</v>
      </c>
      <c r="L36" s="851">
        <f>IF(ISBLANK('Brd Link'!L33),"NA",'Brd Link'!L33)</f>
        <v>151074.20697432294</v>
      </c>
      <c r="M36" s="851">
        <f>IF(ISBLANK('Brd Link'!M33),"NA",'Brd Link'!M33)</f>
        <v>0</v>
      </c>
      <c r="N36" s="851">
        <f>IF(ISBLANK('Brd Link'!N32),"NA",'Brd Link'!N32)</f>
        <v>0</v>
      </c>
      <c r="O36" s="851">
        <f>IF(ISBLANK('Brd Link'!O32),"NA",'Brd Link'!O32)</f>
        <v>1028.674</v>
      </c>
      <c r="P36" s="851">
        <f>IF(ISBLANK('Brd Link'!P32),"NA",'Brd Link'!P32)</f>
        <v>0</v>
      </c>
      <c r="Q36" s="670">
        <f t="shared" si="1"/>
        <v>1516082.4973170541</v>
      </c>
      <c r="R36" s="670">
        <f t="shared" si="0"/>
        <v>27</v>
      </c>
    </row>
    <row r="37" spans="1:18" s="6" customFormat="1" ht="15.75">
      <c r="A37" s="666">
        <v>1990</v>
      </c>
      <c r="B37" s="851">
        <f>IF(ISBLANK('Brd Link'!B38),"NA",'Brd Link'!B38)</f>
        <v>440.07</v>
      </c>
      <c r="C37" s="851">
        <f>IF(ISBLANK('Brd Link'!C37),"NA",'Brd Link'!C37)</f>
        <v>21116.518079352791</v>
      </c>
      <c r="D37" s="851">
        <f>IF(ISBLANK('Brd Link'!D37),"NA",'Brd Link'!D37)</f>
        <v>78805.382876538672</v>
      </c>
      <c r="E37" s="851">
        <f>IF(ISBLANK('Brd Link'!E36),"NA",'Brd Link'!E36)</f>
        <v>235241.49387653868</v>
      </c>
      <c r="F37" s="851">
        <f>IF(ISBLANK('Brd Link'!F36),"NA",'Brd Link'!F36)</f>
        <v>283682.55642391811</v>
      </c>
      <c r="G37" s="851">
        <f>IF(ISBLANK('Brd Link'!G36),"NA",'Brd Link'!G36)</f>
        <v>744.10301983819784</v>
      </c>
      <c r="H37" s="851">
        <f>IF(ISBLANK('Brd Link'!H35),"NA",'Brd Link'!H35)</f>
        <v>919.59400000000016</v>
      </c>
      <c r="I37" s="851">
        <f>IF(ISBLANK('Brd Link'!I35),"NA",'Brd Link'!I35)</f>
        <v>641426.45512191299</v>
      </c>
      <c r="J37" s="851">
        <f>IF(ISBLANK('Brd Link'!J35),"NA",'Brd Link'!J35)</f>
        <v>65724.31340851204</v>
      </c>
      <c r="K37" s="851">
        <f>IF(ISBLANK('Brd Link'!K34),"NA",'Brd Link'!K34)</f>
        <v>7760.5260793527905</v>
      </c>
      <c r="L37" s="851">
        <f>IF(ISBLANK('Brd Link'!L34),"NA",'Brd Link'!L34)</f>
        <v>222100.04629314083</v>
      </c>
      <c r="M37" s="851">
        <f>IF(ISBLANK('Brd Link'!M34),"NA",'Brd Link'!M34)</f>
        <v>0</v>
      </c>
      <c r="N37" s="851">
        <f>IF(ISBLANK('Brd Link'!N33),"NA",'Brd Link'!N33)</f>
        <v>73.344999999999999</v>
      </c>
      <c r="O37" s="851">
        <f>IF(ISBLANK('Brd Link'!O33),"NA",'Brd Link'!O33)</f>
        <v>2041.0750396763956</v>
      </c>
      <c r="P37" s="851">
        <f>IF(ISBLANK('Brd Link'!P33),"NA",'Brd Link'!P33)</f>
        <v>1194.8260396763956</v>
      </c>
      <c r="Q37" s="670">
        <f t="shared" si="1"/>
        <v>1561270.3052584578</v>
      </c>
      <c r="R37" s="670">
        <f t="shared" si="0"/>
        <v>26</v>
      </c>
    </row>
    <row r="38" spans="1:18" s="6" customFormat="1" ht="15.75">
      <c r="A38" s="666">
        <v>1991</v>
      </c>
      <c r="B38" s="851">
        <f>IF(ISBLANK('Brd Link'!B39),"NA",'Brd Link'!B39)</f>
        <v>1208.6110000000001</v>
      </c>
      <c r="C38" s="851">
        <f>IF(ISBLANK('Brd Link'!C38),"NA",'Brd Link'!C38)</f>
        <v>8380.83</v>
      </c>
      <c r="D38" s="851">
        <f>IF(ISBLANK('Brd Link'!D38),"NA",'Brd Link'!D38)</f>
        <v>18489.281874539654</v>
      </c>
      <c r="E38" s="851">
        <f>IF(ISBLANK('Brd Link'!E37),"NA",'Brd Link'!E37)</f>
        <v>159648.33487453967</v>
      </c>
      <c r="F38" s="851">
        <f>IF(ISBLANK('Brd Link'!F37),"NA",'Brd Link'!F37)</f>
        <v>229875.14425105081</v>
      </c>
      <c r="G38" s="851">
        <f>IF(ISBLANK('Brd Link'!G37),"NA",'Brd Link'!G37)</f>
        <v>1208.6110000000001</v>
      </c>
      <c r="H38" s="851">
        <f>IF(ISBLANK('Brd Link'!H36),"NA",'Brd Link'!H36)</f>
        <v>1759.1662455192736</v>
      </c>
      <c r="I38" s="851">
        <f>IF(ISBLANK('Brd Link'!I36),"NA",'Brd Link'!I36)</f>
        <v>1292395.1381037389</v>
      </c>
      <c r="J38" s="851">
        <f>IF(ISBLANK('Brd Link'!J36),"NA",'Brd Link'!J36)</f>
        <v>6223.2490000000007</v>
      </c>
      <c r="K38" s="851">
        <f>IF(ISBLANK('Brd Link'!K35),"NA",'Brd Link'!K35)</f>
        <v>17968.513173827647</v>
      </c>
      <c r="L38" s="851">
        <f>IF(ISBLANK('Brd Link'!L35),"NA",'Brd Link'!L35)</f>
        <v>68352.632191750556</v>
      </c>
      <c r="M38" s="851">
        <f>IF(ISBLANK('Brd Link'!M35),"NA",'Brd Link'!M35)</f>
        <v>0</v>
      </c>
      <c r="N38" s="851">
        <f>IF(ISBLANK('Brd Link'!N34),"NA",'Brd Link'!N34)</f>
        <v>0</v>
      </c>
      <c r="O38" s="851">
        <f>IF(ISBLANK('Brd Link'!O34),"NA",'Brd Link'!O34)</f>
        <v>0</v>
      </c>
      <c r="P38" s="851">
        <f>IF(ISBLANK('Brd Link'!P34),"NA",'Brd Link'!P34)</f>
        <v>0</v>
      </c>
      <c r="Q38" s="670">
        <f t="shared" si="1"/>
        <v>1805509.5117149665</v>
      </c>
      <c r="R38" s="670">
        <f t="shared" si="0"/>
        <v>16</v>
      </c>
    </row>
    <row r="39" spans="1:18" s="6" customFormat="1" ht="15.75">
      <c r="A39" s="666">
        <v>1992</v>
      </c>
      <c r="B39" s="851">
        <f>IF(ISBLANK('Brd Link'!B40),"NA",'Brd Link'!B40)</f>
        <v>160.84569322424986</v>
      </c>
      <c r="C39" s="851">
        <f>IF(ISBLANK('Brd Link'!C39),"NA",'Brd Link'!C39)</f>
        <v>22491.364989534712</v>
      </c>
      <c r="D39" s="851">
        <f>IF(ISBLANK('Brd Link'!D39),"NA",'Brd Link'!D39)</f>
        <v>25771.508177901509</v>
      </c>
      <c r="E39" s="851">
        <f>IF(ISBLANK('Brd Link'!E38),"NA",'Brd Link'!E38)</f>
        <v>88769.186810595143</v>
      </c>
      <c r="F39" s="851">
        <f>IF(ISBLANK('Brd Link'!F38),"NA",'Brd Link'!F38)</f>
        <v>237957.34811608869</v>
      </c>
      <c r="G39" s="851">
        <f>IF(ISBLANK('Brd Link'!G38),"NA",'Brd Link'!G38)</f>
        <v>40.332489956876408</v>
      </c>
      <c r="H39" s="851">
        <f>IF(ISBLANK('Brd Link'!H37),"NA",'Brd Link'!H37)</f>
        <v>3335.6308249612293</v>
      </c>
      <c r="I39" s="851">
        <f>IF(ISBLANK('Brd Link'!I37),"NA",'Brd Link'!I37)</f>
        <v>1075295.1477904324</v>
      </c>
      <c r="J39" s="851">
        <f>IF(ISBLANK('Brd Link'!J37),"NA",'Brd Link'!J37)</f>
        <v>24623.524510714233</v>
      </c>
      <c r="K39" s="851">
        <f>IF(ISBLANK('Brd Link'!K36),"NA",'Brd Link'!K36)</f>
        <v>10038.918487995696</v>
      </c>
      <c r="L39" s="851">
        <f>IF(ISBLANK('Brd Link'!L36),"NA",'Brd Link'!L36)</f>
        <v>102379.09477766155</v>
      </c>
      <c r="M39" s="851">
        <f>IF(ISBLANK('Brd Link'!M36),"NA",'Brd Link'!M36)</f>
        <v>0</v>
      </c>
      <c r="N39" s="851">
        <f>IF(ISBLANK('Brd Link'!N35),"NA",'Brd Link'!N35)</f>
        <v>0</v>
      </c>
      <c r="O39" s="851">
        <f>IF(ISBLANK('Brd Link'!O35),"NA",'Brd Link'!O35)</f>
        <v>1366.6103110634733</v>
      </c>
      <c r="P39" s="851">
        <f>IF(ISBLANK('Brd Link'!P35),"NA",'Brd Link'!P35)</f>
        <v>0</v>
      </c>
      <c r="Q39" s="670">
        <f t="shared" si="1"/>
        <v>1592229.5129801298</v>
      </c>
      <c r="R39" s="670">
        <f t="shared" si="0"/>
        <v>25</v>
      </c>
    </row>
    <row r="40" spans="1:18" s="6" customFormat="1" ht="15.75">
      <c r="A40" s="666">
        <v>1993</v>
      </c>
      <c r="B40" s="851">
        <f>IF(ISBLANK('Brd Link'!B41),"NA",'Brd Link'!B41)</f>
        <v>114.76809826065454</v>
      </c>
      <c r="C40" s="851">
        <f>IF(ISBLANK('Brd Link'!C40),"NA",'Brd Link'!C40)</f>
        <v>13668.933644713463</v>
      </c>
      <c r="D40" s="851">
        <f>IF(ISBLANK('Brd Link'!D40),"NA",'Brd Link'!D40)</f>
        <v>56401.76109070603</v>
      </c>
      <c r="E40" s="851">
        <f>IF(ISBLANK('Brd Link'!E39),"NA",'Brd Link'!E39)</f>
        <v>240612.912267554</v>
      </c>
      <c r="F40" s="851">
        <f>IF(ISBLANK('Brd Link'!F39),"NA",'Brd Link'!F39)</f>
        <v>249913.77094685714</v>
      </c>
      <c r="G40" s="851">
        <f>IF(ISBLANK('Brd Link'!G39),"NA",'Brd Link'!G39)</f>
        <v>61.613454411656534</v>
      </c>
      <c r="H40" s="851">
        <f>IF(ISBLANK('Brd Link'!H38),"NA",'Brd Link'!H38)</f>
        <v>2228.2791278196037</v>
      </c>
      <c r="I40" s="851">
        <f>IF(ISBLANK('Brd Link'!I38),"NA",'Brd Link'!I38)</f>
        <v>1329979.1552080857</v>
      </c>
      <c r="J40" s="851">
        <f>IF(ISBLANK('Brd Link'!J38),"NA",'Brd Link'!J38)</f>
        <v>20190.383640854685</v>
      </c>
      <c r="K40" s="851">
        <f>IF(ISBLANK('Brd Link'!K37),"NA",'Brd Link'!K37)</f>
        <v>9969.0769577149986</v>
      </c>
      <c r="L40" s="851">
        <f>IF(ISBLANK('Brd Link'!L37),"NA",'Brd Link'!L37)</f>
        <v>167904.98412563567</v>
      </c>
      <c r="M40" s="851">
        <f>IF(ISBLANK('Brd Link'!M37),"NA",'Brd Link'!M37)</f>
        <v>0</v>
      </c>
      <c r="N40" s="851">
        <f>IF(ISBLANK('Brd Link'!N36),"NA",'Brd Link'!N36)</f>
        <v>0</v>
      </c>
      <c r="O40" s="851">
        <f>IF(ISBLANK('Brd Link'!O36),"NA",'Brd Link'!O36)</f>
        <v>899.64908992187668</v>
      </c>
      <c r="P40" s="851">
        <f>IF(ISBLANK('Brd Link'!P36),"NA",'Brd Link'!P36)</f>
        <v>521.25352370416942</v>
      </c>
      <c r="Q40" s="670">
        <f t="shared" si="1"/>
        <v>2092466.5411762395</v>
      </c>
      <c r="R40" s="670">
        <f t="shared" si="0"/>
        <v>9</v>
      </c>
    </row>
    <row r="41" spans="1:18" s="6" customFormat="1" ht="15.75">
      <c r="A41" s="666">
        <v>1994</v>
      </c>
      <c r="B41" s="851">
        <f>IF(ISBLANK('Brd Link'!B42),"NA",'Brd Link'!B42)</f>
        <v>567.49129464130851</v>
      </c>
      <c r="C41" s="851">
        <f>IF(ISBLANK('Brd Link'!C41),"NA",'Brd Link'!C41)</f>
        <v>18534.721988168709</v>
      </c>
      <c r="D41" s="851">
        <f>IF(ISBLANK('Brd Link'!D41),"NA",'Brd Link'!D41)</f>
        <v>58109.358039408347</v>
      </c>
      <c r="E41" s="851">
        <f>IF(ISBLANK('Brd Link'!E40),"NA",'Brd Link'!E40)</f>
        <v>175886.78090249607</v>
      </c>
      <c r="F41" s="851">
        <f>IF(ISBLANK('Brd Link'!F40),"NA",'Brd Link'!F40)</f>
        <v>210751.78888782303</v>
      </c>
      <c r="G41" s="851">
        <f>IF(ISBLANK('Brd Link'!G40),"NA",'Brd Link'!G40)</f>
        <v>745.83470302690375</v>
      </c>
      <c r="H41" s="851">
        <f>IF(ISBLANK('Brd Link'!H39),"NA",'Brd Link'!H39)</f>
        <v>3832.738664468448</v>
      </c>
      <c r="I41" s="851">
        <f>IF(ISBLANK('Brd Link'!I39),"NA",'Brd Link'!I39)</f>
        <v>1332570.2372110838</v>
      </c>
      <c r="J41" s="851">
        <f>IF(ISBLANK('Brd Link'!J39),"NA",'Brd Link'!J39)</f>
        <v>14957.721014573575</v>
      </c>
      <c r="K41" s="851">
        <f>IF(ISBLANK('Brd Link'!K38),"NA",'Brd Link'!K38)</f>
        <v>10425.75124360494</v>
      </c>
      <c r="L41" s="851">
        <f>IF(ISBLANK('Brd Link'!L38),"NA",'Brd Link'!L38)</f>
        <v>56158.850432137238</v>
      </c>
      <c r="M41" s="851">
        <f>IF(ISBLANK('Brd Link'!M38),"NA",'Brd Link'!M38)</f>
        <v>0</v>
      </c>
      <c r="N41" s="851">
        <f>IF(ISBLANK('Brd Link'!N37),"NA",'Brd Link'!N37)</f>
        <v>110.29056006581624</v>
      </c>
      <c r="O41" s="851">
        <f>IF(ISBLANK('Brd Link'!O37),"NA",'Brd Link'!O37)</f>
        <v>364.64161464130848</v>
      </c>
      <c r="P41" s="851">
        <f>IF(ISBLANK('Brd Link'!P37),"NA",'Brd Link'!P37)</f>
        <v>0</v>
      </c>
      <c r="Q41" s="670">
        <f t="shared" si="1"/>
        <v>1883016.2065561395</v>
      </c>
      <c r="R41" s="670">
        <f t="shared" si="0"/>
        <v>13</v>
      </c>
    </row>
    <row r="42" spans="1:18" s="6" customFormat="1" ht="15.75">
      <c r="A42" s="666">
        <v>1995</v>
      </c>
      <c r="B42" s="851">
        <f>IF(ISBLANK('Brd Link'!B43),"NA",'Brd Link'!B43)</f>
        <v>150.17205000000001</v>
      </c>
      <c r="C42" s="851">
        <f>IF(ISBLANK('Brd Link'!C42),"NA",'Brd Link'!C42)</f>
        <v>13539.73541244292</v>
      </c>
      <c r="D42" s="851">
        <f>IF(ISBLANK('Brd Link'!D42),"NA",'Brd Link'!D42)</f>
        <v>32579.47741440657</v>
      </c>
      <c r="E42" s="851">
        <f>IF(ISBLANK('Brd Link'!E41),"NA",'Brd Link'!E41)</f>
        <v>93387.974354544465</v>
      </c>
      <c r="F42" s="851">
        <f>IF(ISBLANK('Brd Link'!F41),"NA",'Brd Link'!F41)</f>
        <v>443740.93051869422</v>
      </c>
      <c r="G42" s="851">
        <f>IF(ISBLANK('Brd Link'!G41),"NA",'Brd Link'!G41)</f>
        <v>451.85652013616084</v>
      </c>
      <c r="H42" s="851">
        <f>IF(ISBLANK('Brd Link'!H40),"NA",'Brd Link'!H40)</f>
        <v>220.04214242985935</v>
      </c>
      <c r="I42" s="851">
        <f>IF(ISBLANK('Brd Link'!I40),"NA",'Brd Link'!I40)</f>
        <v>1060308.8407004261</v>
      </c>
      <c r="J42" s="851">
        <f>IF(ISBLANK('Brd Link'!J40),"NA",'Brd Link'!J40)</f>
        <v>39127.59074684744</v>
      </c>
      <c r="K42" s="851">
        <f>IF(ISBLANK('Brd Link'!K39),"NA",'Brd Link'!K39)</f>
        <v>3381.7685598274606</v>
      </c>
      <c r="L42" s="851">
        <f>IF(ISBLANK('Brd Link'!L39),"NA",'Brd Link'!L39)</f>
        <v>113240.98253948729</v>
      </c>
      <c r="M42" s="851">
        <f>IF(ISBLANK('Brd Link'!M39),"NA",'Brd Link'!M39)</f>
        <v>235.14517733959769</v>
      </c>
      <c r="N42" s="851">
        <f>IF(ISBLANK('Brd Link'!N38),"NA",'Brd Link'!N38)</f>
        <v>0</v>
      </c>
      <c r="O42" s="851">
        <f>IF(ISBLANK('Brd Link'!O38),"NA",'Brd Link'!O38)</f>
        <v>310.90322389233484</v>
      </c>
      <c r="P42" s="851">
        <f>IF(ISBLANK('Brd Link'!P38),"NA",'Brd Link'!P38)</f>
        <v>16.280049999999999</v>
      </c>
      <c r="Q42" s="670">
        <f t="shared" si="1"/>
        <v>1800691.6994104746</v>
      </c>
      <c r="R42" s="670">
        <f t="shared" si="0"/>
        <v>17</v>
      </c>
    </row>
    <row r="43" spans="1:18" s="6" customFormat="1" ht="15.75">
      <c r="A43" s="666">
        <v>1996</v>
      </c>
      <c r="B43" s="851">
        <f>IF(ISBLANK('Brd Link'!B44),"NA",'Brd Link'!B44)</f>
        <v>199.87886500000002</v>
      </c>
      <c r="C43" s="851">
        <f>IF(ISBLANK('Brd Link'!C43),"NA",'Brd Link'!C43)</f>
        <v>44520.814705183351</v>
      </c>
      <c r="D43" s="851">
        <f>IF(ISBLANK('Brd Link'!D43),"NA",'Brd Link'!D43)</f>
        <v>16460.431926757403</v>
      </c>
      <c r="E43" s="851">
        <f>IF(ISBLANK('Brd Link'!E42),"NA",'Brd Link'!E42)</f>
        <v>112579.81465782334</v>
      </c>
      <c r="F43" s="851">
        <f>IF(ISBLANK('Brd Link'!F42),"NA",'Brd Link'!F42)</f>
        <v>505425.03393203206</v>
      </c>
      <c r="G43" s="851">
        <f>IF(ISBLANK('Brd Link'!G42),"NA",'Brd Link'!G42)</f>
        <v>277.16182309520332</v>
      </c>
      <c r="H43" s="851">
        <f>IF(ISBLANK('Brd Link'!H41),"NA",'Brd Link'!H41)</f>
        <v>1384.5569724573177</v>
      </c>
      <c r="I43" s="851">
        <f>IF(ISBLANK('Brd Link'!I41),"NA",'Brd Link'!I41)</f>
        <v>1989184.4640360922</v>
      </c>
      <c r="J43" s="851">
        <f>IF(ISBLANK('Brd Link'!J41),"NA",'Brd Link'!J41)</f>
        <v>53524.136196909734</v>
      </c>
      <c r="K43" s="851">
        <f>IF(ISBLANK('Brd Link'!K40),"NA",'Brd Link'!K40)</f>
        <v>18708.985355581455</v>
      </c>
      <c r="L43" s="851">
        <f>IF(ISBLANK('Brd Link'!L40),"NA",'Brd Link'!L40)</f>
        <v>136246.45589309841</v>
      </c>
      <c r="M43" s="851">
        <f>IF(ISBLANK('Brd Link'!M40),"NA",'Brd Link'!M40)</f>
        <v>198.74871562604727</v>
      </c>
      <c r="N43" s="851">
        <f>IF(ISBLANK('Brd Link'!N39),"NA",'Brd Link'!N39)</f>
        <v>212.8692340683321</v>
      </c>
      <c r="O43" s="851">
        <f>IF(ISBLANK('Brd Link'!O39),"NA",'Brd Link'!O39)</f>
        <v>235.2459888660056</v>
      </c>
      <c r="P43" s="851">
        <f>IF(ISBLANK('Brd Link'!P39),"NA",'Brd Link'!P39)</f>
        <v>0</v>
      </c>
      <c r="Q43" s="670">
        <f t="shared" si="1"/>
        <v>2879158.5983025911</v>
      </c>
      <c r="R43" s="670">
        <f t="shared" si="0"/>
        <v>2</v>
      </c>
    </row>
    <row r="44" spans="1:18" s="6" customFormat="1" ht="15.75">
      <c r="A44" s="666">
        <v>1997</v>
      </c>
      <c r="B44" s="851">
        <f>IF(ISBLANK('Brd Link'!B45),"NA",'Brd Link'!B45)</f>
        <v>116.90832403146852</v>
      </c>
      <c r="C44" s="851">
        <f>IF(ISBLANK('Brd Link'!C44),"NA",'Brd Link'!C44)</f>
        <v>31914.140420560962</v>
      </c>
      <c r="D44" s="851">
        <f>IF(ISBLANK('Brd Link'!D44),"NA",'Brd Link'!D44)</f>
        <v>147971.67340866121</v>
      </c>
      <c r="E44" s="851">
        <f>IF(ISBLANK('Brd Link'!E43),"NA",'Brd Link'!E43)</f>
        <v>802613.36083504581</v>
      </c>
      <c r="F44" s="851">
        <f>IF(ISBLANK('Brd Link'!F43),"NA",'Brd Link'!F43)</f>
        <v>247453.35635972215</v>
      </c>
      <c r="G44" s="851">
        <f>IF(ISBLANK('Brd Link'!G43),"NA",'Brd Link'!G43)</f>
        <v>21.334687986013986</v>
      </c>
      <c r="H44" s="851">
        <f>IF(ISBLANK('Brd Link'!H42),"NA",'Brd Link'!H42)</f>
        <v>3294.5659266862285</v>
      </c>
      <c r="I44" s="851">
        <f>IF(ISBLANK('Brd Link'!I42),"NA",'Brd Link'!I42)</f>
        <v>2415249.6642813412</v>
      </c>
      <c r="J44" s="851">
        <f>IF(ISBLANK('Brd Link'!J42),"NA",'Brd Link'!J42)</f>
        <v>26864.069337716079</v>
      </c>
      <c r="K44" s="851">
        <f>IF(ISBLANK('Brd Link'!K41),"NA",'Brd Link'!K41)</f>
        <v>10304.022596761599</v>
      </c>
      <c r="L44" s="851">
        <f>IF(ISBLANK('Brd Link'!L41),"NA",'Brd Link'!L41)</f>
        <v>271330.44131966069</v>
      </c>
      <c r="M44" s="851">
        <f>IF(ISBLANK('Brd Link'!M41),"NA",'Brd Link'!M41)</f>
        <v>0</v>
      </c>
      <c r="N44" s="851">
        <f>IF(ISBLANK('Brd Link'!N40),"NA",'Brd Link'!N40)</f>
        <v>0</v>
      </c>
      <c r="O44" s="851">
        <f>IF(ISBLANK('Brd Link'!O40),"NA",'Brd Link'!O40)</f>
        <v>0</v>
      </c>
      <c r="P44" s="851">
        <f>IF(ISBLANK('Brd Link'!P40),"NA",'Brd Link'!P40)</f>
        <v>0</v>
      </c>
      <c r="Q44" s="670">
        <f t="shared" si="1"/>
        <v>3957133.5374981733</v>
      </c>
      <c r="R44" s="670">
        <f t="shared" si="0"/>
        <v>1</v>
      </c>
    </row>
    <row r="45" spans="1:18" s="6" customFormat="1" ht="15.75">
      <c r="A45" s="666">
        <v>1998</v>
      </c>
      <c r="B45" s="851">
        <f>IF(ISBLANK('Brd Link'!B46),"NA",'Brd Link'!B46)</f>
        <v>595.88930179432168</v>
      </c>
      <c r="C45" s="851">
        <f>IF(ISBLANK('Brd Link'!C45),"NA",'Brd Link'!C45)</f>
        <v>18347.456281446943</v>
      </c>
      <c r="D45" s="851">
        <f>IF(ISBLANK('Brd Link'!D45),"NA",'Brd Link'!D45)</f>
        <v>29946.499677603377</v>
      </c>
      <c r="E45" s="851">
        <f>IF(ISBLANK('Brd Link'!E44),"NA",'Brd Link'!E44)</f>
        <v>112668.45951798014</v>
      </c>
      <c r="F45" s="851">
        <f>IF(ISBLANK('Brd Link'!F44),"NA",'Brd Link'!F44)</f>
        <v>271467.29571051238</v>
      </c>
      <c r="G45" s="851">
        <f>IF(ISBLANK('Brd Link'!G44),"NA",'Brd Link'!G44)</f>
        <v>1009.4130814346948</v>
      </c>
      <c r="H45" s="851">
        <f>IF(ISBLANK('Brd Link'!H43),"NA",'Brd Link'!H43)</f>
        <v>2025.2798513159853</v>
      </c>
      <c r="I45" s="851">
        <f>IF(ISBLANK('Brd Link'!I43),"NA",'Brd Link'!I43)</f>
        <v>1112912.7648551823</v>
      </c>
      <c r="J45" s="851">
        <f>IF(ISBLANK('Brd Link'!J43),"NA",'Brd Link'!J43)</f>
        <v>19013.145383823394</v>
      </c>
      <c r="K45" s="851">
        <f>IF(ISBLANK('Brd Link'!K42),"NA",'Brd Link'!K42)</f>
        <v>11568.636694612851</v>
      </c>
      <c r="L45" s="851">
        <f>IF(ISBLANK('Brd Link'!L42),"NA",'Brd Link'!L42)</f>
        <v>77133.584539687814</v>
      </c>
      <c r="M45" s="851">
        <f>IF(ISBLANK('Brd Link'!M42),"NA",'Brd Link'!M42)</f>
        <v>0</v>
      </c>
      <c r="N45" s="851">
        <f>IF(ISBLANK('Brd Link'!N41),"NA",'Brd Link'!N41)</f>
        <v>0</v>
      </c>
      <c r="O45" s="851">
        <f>IF(ISBLANK('Brd Link'!O41),"NA",'Brd Link'!O41)</f>
        <v>547.46603666896704</v>
      </c>
      <c r="P45" s="851">
        <f>IF(ISBLANK('Brd Link'!P41),"NA",'Brd Link'!P41)</f>
        <v>0</v>
      </c>
      <c r="Q45" s="670">
        <f t="shared" si="1"/>
        <v>1657235.8909320631</v>
      </c>
      <c r="R45" s="670">
        <f t="shared" si="0"/>
        <v>22</v>
      </c>
    </row>
    <row r="46" spans="1:18" s="6" customFormat="1" ht="15.75">
      <c r="A46" s="666">
        <v>1999</v>
      </c>
      <c r="B46" s="851">
        <f>IF(ISBLANK('Brd Link'!B47),"NA",'Brd Link'!B47)</f>
        <v>82.341865161817253</v>
      </c>
      <c r="C46" s="851">
        <f>IF(ISBLANK('Brd Link'!C46),"NA",'Brd Link'!C46)</f>
        <v>22339.832869201946</v>
      </c>
      <c r="D46" s="851">
        <f>IF(ISBLANK('Brd Link'!D46),"NA",'Brd Link'!D46)</f>
        <v>12697.780914796174</v>
      </c>
      <c r="E46" s="851">
        <f>IF(ISBLANK('Brd Link'!E45),"NA",'Brd Link'!E45)</f>
        <v>101731.50132165727</v>
      </c>
      <c r="F46" s="851">
        <f>IF(ISBLANK('Brd Link'!F45),"NA",'Brd Link'!F45)</f>
        <v>219305.37513567525</v>
      </c>
      <c r="G46" s="851">
        <f>IF(ISBLANK('Brd Link'!G45),"NA",'Brd Link'!G45)</f>
        <v>0</v>
      </c>
      <c r="H46" s="851">
        <f>IF(ISBLANK('Brd Link'!H44),"NA",'Brd Link'!H44)</f>
        <v>4491.3892658855948</v>
      </c>
      <c r="I46" s="851">
        <f>IF(ISBLANK('Brd Link'!I44),"NA",'Brd Link'!I44)</f>
        <v>1216630.2738301605</v>
      </c>
      <c r="J46" s="851">
        <f>IF(ISBLANK('Brd Link'!J44),"NA",'Brd Link'!J44)</f>
        <v>34901.570572334043</v>
      </c>
      <c r="K46" s="851">
        <f>IF(ISBLANK('Brd Link'!K43),"NA",'Brd Link'!K43)</f>
        <v>15443.702617175633</v>
      </c>
      <c r="L46" s="851">
        <f>IF(ISBLANK('Brd Link'!L43),"NA",'Brd Link'!L43)</f>
        <v>69316.71512995282</v>
      </c>
      <c r="M46" s="851">
        <f>IF(ISBLANK('Brd Link'!M43),"NA",'Brd Link'!M43)</f>
        <v>385.05387899088055</v>
      </c>
      <c r="N46" s="851">
        <f>IF(ISBLANK('Brd Link'!N42),"NA",'Brd Link'!N42)</f>
        <v>0</v>
      </c>
      <c r="O46" s="851">
        <f>IF(ISBLANK('Brd Link'!O42),"NA",'Brd Link'!O42)</f>
        <v>0</v>
      </c>
      <c r="P46" s="851">
        <f>IF(ISBLANK('Brd Link'!P42),"NA",'Brd Link'!P42)</f>
        <v>0</v>
      </c>
      <c r="Q46" s="670">
        <f t="shared" si="1"/>
        <v>1697325.5374009921</v>
      </c>
      <c r="R46" s="670">
        <f t="shared" si="0"/>
        <v>21</v>
      </c>
    </row>
    <row r="47" spans="1:18" s="6" customFormat="1" ht="15.75">
      <c r="A47" s="666">
        <v>2000</v>
      </c>
      <c r="B47" s="851">
        <f>IF(ISBLANK('Brd Link'!B48),"NA",'Brd Link'!B48)</f>
        <v>246.72578685536965</v>
      </c>
      <c r="C47" s="851">
        <f>IF(ISBLANK('Brd Link'!C47),"NA",'Brd Link'!C47)</f>
        <v>24855.648557715551</v>
      </c>
      <c r="D47" s="851">
        <f>IF(ISBLANK('Brd Link'!D47),"NA",'Brd Link'!D47)</f>
        <v>8279.8174606620651</v>
      </c>
      <c r="E47" s="851">
        <f>IF(ISBLANK('Brd Link'!E46),"NA",'Brd Link'!E46)</f>
        <v>66093.124069894606</v>
      </c>
      <c r="F47" s="851">
        <f>IF(ISBLANK('Brd Link'!F46),"NA",'Brd Link'!F46)</f>
        <v>76308.890082196463</v>
      </c>
      <c r="G47" s="851">
        <f>IF(ISBLANK('Brd Link'!G46),"NA",'Brd Link'!G46)</f>
        <v>0</v>
      </c>
      <c r="H47" s="851">
        <f>IF(ISBLANK('Brd Link'!H45),"NA",'Brd Link'!H45)</f>
        <v>1853.0518040261982</v>
      </c>
      <c r="I47" s="851">
        <f>IF(ISBLANK('Brd Link'!I45),"NA",'Brd Link'!I45)</f>
        <v>929769.82433363562</v>
      </c>
      <c r="J47" s="851">
        <f>IF(ISBLANK('Brd Link'!J45),"NA",'Brd Link'!J45)</f>
        <v>8999.5141323048283</v>
      </c>
      <c r="K47" s="851">
        <f>IF(ISBLANK('Brd Link'!K44),"NA",'Brd Link'!K44)</f>
        <v>8829.6006964967055</v>
      </c>
      <c r="L47" s="851">
        <f>IF(ISBLANK('Brd Link'!L44),"NA",'Brd Link'!L44)</f>
        <v>89500.51969014018</v>
      </c>
      <c r="M47" s="851">
        <f>IF(ISBLANK('Brd Link'!M44),"NA",'Brd Link'!M44)</f>
        <v>0</v>
      </c>
      <c r="N47" s="851">
        <f>IF(ISBLANK('Brd Link'!N43),"NA",'Brd Link'!N43)</f>
        <v>0</v>
      </c>
      <c r="O47" s="851">
        <f>IF(ISBLANK('Brd Link'!O43),"NA",'Brd Link'!O43)</f>
        <v>220.62565858541765</v>
      </c>
      <c r="P47" s="851">
        <f>IF(ISBLANK('Brd Link'!P43),"NA",'Brd Link'!P43)</f>
        <v>0</v>
      </c>
      <c r="Q47" s="670">
        <f t="shared" si="1"/>
        <v>1214957.3422725131</v>
      </c>
      <c r="R47" s="670">
        <f t="shared" si="0"/>
        <v>37</v>
      </c>
    </row>
    <row r="48" spans="1:18" s="6" customFormat="1" ht="15.75">
      <c r="A48" s="666">
        <v>2001</v>
      </c>
      <c r="B48" s="851">
        <f>IF(ISBLANK('Brd Link'!B49),"NA",'Brd Link'!B49)</f>
        <v>50.002467830072277</v>
      </c>
      <c r="C48" s="851">
        <f>IF(ISBLANK('Brd Link'!C48),"NA",'Brd Link'!C48)</f>
        <v>4598.641973520168</v>
      </c>
      <c r="D48" s="851">
        <f>IF(ISBLANK('Brd Link'!D48),"NA",'Brd Link'!D48)</f>
        <v>14648.877824859073</v>
      </c>
      <c r="E48" s="851">
        <f>IF(ISBLANK('Brd Link'!E47),"NA",'Brd Link'!E47)</f>
        <v>160819.07519867778</v>
      </c>
      <c r="F48" s="851">
        <f>IF(ISBLANK('Brd Link'!F47),"NA",'Brd Link'!F47)</f>
        <v>100643.96414584623</v>
      </c>
      <c r="G48" s="851">
        <f>IF(ISBLANK('Brd Link'!G47),"NA",'Brd Link'!G47)</f>
        <v>0</v>
      </c>
      <c r="H48" s="851">
        <f>IF(ISBLANK('Brd Link'!H46),"NA",'Brd Link'!H46)</f>
        <v>982.50288084489932</v>
      </c>
      <c r="I48" s="851">
        <f>IF(ISBLANK('Brd Link'!I46),"NA",'Brd Link'!I46)</f>
        <v>1671044.5816115239</v>
      </c>
      <c r="J48" s="851">
        <f>IF(ISBLANK('Brd Link'!J46),"NA",'Brd Link'!J46)</f>
        <v>7578.3818475354037</v>
      </c>
      <c r="K48" s="851">
        <f>IF(ISBLANK('Brd Link'!K45),"NA",'Brd Link'!K45)</f>
        <v>3765.2371538897801</v>
      </c>
      <c r="L48" s="851">
        <f>IF(ISBLANK('Brd Link'!L45),"NA",'Brd Link'!L45)</f>
        <v>59923.799229661214</v>
      </c>
      <c r="M48" s="851">
        <f>IF(ISBLANK('Brd Link'!M45),"NA",'Brd Link'!M45)</f>
        <v>0</v>
      </c>
      <c r="N48" s="851">
        <f>IF(ISBLANK('Brd Link'!N44),"NA",'Brd Link'!N44)</f>
        <v>0</v>
      </c>
      <c r="O48" s="851">
        <f>IF(ISBLANK('Brd Link'!O44),"NA",'Brd Link'!O44)</f>
        <v>0</v>
      </c>
      <c r="P48" s="851">
        <f>IF(ISBLANK('Brd Link'!P44),"NA",'Brd Link'!P44)</f>
        <v>0</v>
      </c>
      <c r="Q48" s="670">
        <f t="shared" si="1"/>
        <v>2024055.0643341886</v>
      </c>
      <c r="R48" s="670">
        <f t="shared" si="0"/>
        <v>11</v>
      </c>
    </row>
    <row r="49" spans="1:18" s="6" customFormat="1" ht="15.75">
      <c r="A49" s="666">
        <v>2002</v>
      </c>
      <c r="B49" s="851">
        <f>IF(ISBLANK('Brd Link'!B50),"NA",'Brd Link'!B50)</f>
        <v>662.18305747720251</v>
      </c>
      <c r="C49" s="851">
        <f>IF(ISBLANK('Brd Link'!C49),"NA",'Brd Link'!C49)</f>
        <v>17303.141708533629</v>
      </c>
      <c r="D49" s="851">
        <f>IF(ISBLANK('Brd Link'!D49),"NA",'Brd Link'!D49)</f>
        <v>7580.2162664815642</v>
      </c>
      <c r="E49" s="851">
        <f>IF(ISBLANK('Brd Link'!E48),"NA",'Brd Link'!E48)</f>
        <v>56834.22212716884</v>
      </c>
      <c r="F49" s="851">
        <f>IF(ISBLANK('Brd Link'!F48),"NA",'Brd Link'!F48)</f>
        <v>359050.78446500207</v>
      </c>
      <c r="G49" s="851">
        <f>IF(ISBLANK('Brd Link'!G48),"NA",'Brd Link'!G48)</f>
        <v>0</v>
      </c>
      <c r="H49" s="851">
        <f>IF(ISBLANK('Brd Link'!H47),"NA",'Brd Link'!H47)</f>
        <v>2313.3534092869577</v>
      </c>
      <c r="I49" s="851">
        <f>IF(ISBLANK('Brd Link'!I47),"NA",'Brd Link'!I47)</f>
        <v>1250886.8726059287</v>
      </c>
      <c r="J49" s="851">
        <f>IF(ISBLANK('Brd Link'!J47),"NA",'Brd Link'!J47)</f>
        <v>11107.647851674847</v>
      </c>
      <c r="K49" s="851">
        <f>IF(ISBLANK('Brd Link'!K46),"NA",'Brd Link'!K46)</f>
        <v>13630.625728167604</v>
      </c>
      <c r="L49" s="851">
        <f>IF(ISBLANK('Brd Link'!L46),"NA",'Brd Link'!L46)</f>
        <v>68975.106658855279</v>
      </c>
      <c r="M49" s="851">
        <f>IF(ISBLANK('Brd Link'!M46),"NA",'Brd Link'!M46)</f>
        <v>0</v>
      </c>
      <c r="N49" s="851">
        <f>IF(ISBLANK('Brd Link'!N45),"NA",'Brd Link'!N45)</f>
        <v>0</v>
      </c>
      <c r="O49" s="851">
        <f>IF(ISBLANK('Brd Link'!O45),"NA",'Brd Link'!O45)</f>
        <v>721.79479738634609</v>
      </c>
      <c r="P49" s="851">
        <f>IF(ISBLANK('Brd Link'!P45),"NA",'Brd Link'!P45)</f>
        <v>0</v>
      </c>
      <c r="Q49" s="670">
        <f t="shared" si="1"/>
        <v>1789065.9486759629</v>
      </c>
      <c r="R49" s="670">
        <f t="shared" si="0"/>
        <v>18</v>
      </c>
    </row>
    <row r="50" spans="1:18" s="6" customFormat="1" ht="15.75">
      <c r="A50" s="666">
        <v>2003</v>
      </c>
      <c r="B50" s="851">
        <f>IF(ISBLANK('Brd Link'!B51),"NA",'Brd Link'!B51)</f>
        <v>87.834615206543617</v>
      </c>
      <c r="C50" s="851">
        <f>IF(ISBLANK('Brd Link'!C50),"NA",'Brd Link'!C50)</f>
        <v>16645.747942705064</v>
      </c>
      <c r="D50" s="851">
        <f>IF(ISBLANK('Brd Link'!D50),"NA",'Brd Link'!D50)</f>
        <v>15743.896445334503</v>
      </c>
      <c r="E50" s="851">
        <f>IF(ISBLANK('Brd Link'!E49),"NA",'Brd Link'!E49)</f>
        <v>71103.192868462647</v>
      </c>
      <c r="F50" s="851">
        <f>IF(ISBLANK('Brd Link'!F49),"NA",'Brd Link'!F49)</f>
        <v>272182.51143379207</v>
      </c>
      <c r="G50" s="851">
        <f>IF(ISBLANK('Brd Link'!G49),"NA",'Brd Link'!G49)</f>
        <v>208.39588316826124</v>
      </c>
      <c r="H50" s="851">
        <f>IF(ISBLANK('Brd Link'!H48),"NA",'Brd Link'!H48)</f>
        <v>628.72149642261763</v>
      </c>
      <c r="I50" s="851">
        <f>IF(ISBLANK('Brd Link'!I48),"NA",'Brd Link'!I48)</f>
        <v>1379966.5856725546</v>
      </c>
      <c r="J50" s="851">
        <f>IF(ISBLANK('Brd Link'!J48),"NA",'Brd Link'!J48)</f>
        <v>13313.228626265411</v>
      </c>
      <c r="K50" s="851">
        <f>IF(ISBLANK('Brd Link'!K47),"NA",'Brd Link'!K47)</f>
        <v>5942.5488904277618</v>
      </c>
      <c r="L50" s="851">
        <f>IF(ISBLANK('Brd Link'!L47),"NA",'Brd Link'!L47)</f>
        <v>42381.679832948306</v>
      </c>
      <c r="M50" s="851">
        <f>IF(ISBLANK('Brd Link'!M47),"NA",'Brd Link'!M47)</f>
        <v>0</v>
      </c>
      <c r="N50" s="851">
        <f>IF(ISBLANK('Brd Link'!N46),"NA",'Brd Link'!N46)</f>
        <v>0</v>
      </c>
      <c r="O50" s="851">
        <f>IF(ISBLANK('Brd Link'!O46),"NA",'Brd Link'!O46)</f>
        <v>693.2320312679725</v>
      </c>
      <c r="P50" s="851">
        <f>IF(ISBLANK('Brd Link'!P46),"NA",'Brd Link'!P46)</f>
        <v>0</v>
      </c>
      <c r="Q50" s="670">
        <f t="shared" si="1"/>
        <v>1818897.5757385558</v>
      </c>
      <c r="R50" s="670">
        <f t="shared" si="0"/>
        <v>14</v>
      </c>
    </row>
    <row r="51" spans="1:18" s="6" customFormat="1" ht="15.75">
      <c r="A51" s="666">
        <v>2004</v>
      </c>
      <c r="B51" s="851">
        <f>IF(ISBLANK('Brd Link'!B52),"NA",'Brd Link'!B52)</f>
        <v>36.367746532145276</v>
      </c>
      <c r="C51" s="851">
        <f>IF(ISBLANK('Brd Link'!C51),"NA",'Brd Link'!C51)</f>
        <v>9246.3237700997815</v>
      </c>
      <c r="D51" s="851">
        <f>IF(ISBLANK('Brd Link'!D51),"NA",'Brd Link'!D51)</f>
        <v>6843.0382800759517</v>
      </c>
      <c r="E51" s="851">
        <f>IF(ISBLANK('Brd Link'!E50),"NA",'Brd Link'!E50)</f>
        <v>97651.540500728544</v>
      </c>
      <c r="F51" s="851">
        <f>IF(ISBLANK('Brd Link'!F50),"NA",'Brd Link'!F50)</f>
        <v>501789.11599463865</v>
      </c>
      <c r="G51" s="851">
        <f>IF(ISBLANK('Brd Link'!G50),"NA",'Brd Link'!G50)</f>
        <v>6.6898694238143763</v>
      </c>
      <c r="H51" s="851">
        <f>IF(ISBLANK('Brd Link'!H49),"NA",'Brd Link'!H49)</f>
        <v>1451.9000518056901</v>
      </c>
      <c r="I51" s="851">
        <f>IF(ISBLANK('Brd Link'!I49),"NA",'Brd Link'!I49)</f>
        <v>996194.75347909459</v>
      </c>
      <c r="J51" s="851">
        <f>IF(ISBLANK('Brd Link'!J49),"NA",'Brd Link'!J49)</f>
        <v>71780.774099935923</v>
      </c>
      <c r="K51" s="851">
        <f>IF(ISBLANK('Brd Link'!K48),"NA",'Brd Link'!K48)</f>
        <v>7414.6374385917989</v>
      </c>
      <c r="L51" s="851">
        <f>IF(ISBLANK('Brd Link'!L48),"NA",'Brd Link'!L48)</f>
        <v>74660.332171505637</v>
      </c>
      <c r="M51" s="851">
        <f>IF(ISBLANK('Brd Link'!M48),"NA",'Brd Link'!M48)</f>
        <v>0</v>
      </c>
      <c r="N51" s="851">
        <f>IF(ISBLANK('Brd Link'!N47),"NA",'Brd Link'!N47)</f>
        <v>0</v>
      </c>
      <c r="O51" s="851">
        <f>IF(ISBLANK('Brd Link'!O47),"NA",'Brd Link'!O47)</f>
        <v>0</v>
      </c>
      <c r="P51" s="851">
        <f>IF(ISBLANK('Brd Link'!P47),"NA",'Brd Link'!P47)</f>
        <v>0</v>
      </c>
      <c r="Q51" s="670">
        <f t="shared" si="1"/>
        <v>1767075.4734024324</v>
      </c>
      <c r="R51" s="670">
        <f t="shared" si="0"/>
        <v>19</v>
      </c>
    </row>
    <row r="52" spans="1:18" s="6" customFormat="1" ht="15.75">
      <c r="A52" s="666">
        <v>2005</v>
      </c>
      <c r="B52" s="851">
        <f>IF(ISBLANK('Brd Link'!B53),"NA",'Brd Link'!B53)</f>
        <v>537.71004536922385</v>
      </c>
      <c r="C52" s="851">
        <f>IF(ISBLANK('Brd Link'!C52),"NA",'Brd Link'!C52)</f>
        <v>19700.069071588034</v>
      </c>
      <c r="D52" s="851">
        <f>IF(ISBLANK('Brd Link'!D52),"NA",'Brd Link'!D52)</f>
        <v>6090.5428281522218</v>
      </c>
      <c r="E52" s="851">
        <f>IF(ISBLANK('Brd Link'!E51),"NA",'Brd Link'!E51)</f>
        <v>132236.79661882488</v>
      </c>
      <c r="F52" s="851">
        <f>IF(ISBLANK('Brd Link'!F51),"NA",'Brd Link'!F51)</f>
        <v>258148.88316457791</v>
      </c>
      <c r="G52" s="851">
        <f>IF(ISBLANK('Brd Link'!G51),"NA",'Brd Link'!G51)</f>
        <v>122.21615060842788</v>
      </c>
      <c r="H52" s="851">
        <f>IF(ISBLANK('Brd Link'!H50),"NA",'Brd Link'!H50)</f>
        <v>929.13471837709585</v>
      </c>
      <c r="I52" s="851">
        <f>IF(ISBLANK('Brd Link'!I50),"NA",'Brd Link'!I50)</f>
        <v>1434375.124038063</v>
      </c>
      <c r="J52" s="851">
        <f>IF(ISBLANK('Brd Link'!J50),"NA",'Brd Link'!J50)</f>
        <v>48395.186096710058</v>
      </c>
      <c r="K52" s="851">
        <f>IF(ISBLANK('Brd Link'!K49),"NA",'Brd Link'!K49)</f>
        <v>5087.9049605004793</v>
      </c>
      <c r="L52" s="851">
        <f>IF(ISBLANK('Brd Link'!L49),"NA",'Brd Link'!L49)</f>
        <v>173454.02140575519</v>
      </c>
      <c r="M52" s="851">
        <f>IF(ISBLANK('Brd Link'!M49),"NA",'Brd Link'!M49)</f>
        <v>0</v>
      </c>
      <c r="N52" s="851">
        <f>IF(ISBLANK('Brd Link'!N48),"NA",'Brd Link'!N48)</f>
        <v>223.11350831425716</v>
      </c>
      <c r="O52" s="851">
        <f>IF(ISBLANK('Brd Link'!O48),"NA",'Brd Link'!O48)</f>
        <v>514.94845767994309</v>
      </c>
      <c r="P52" s="851">
        <f>IF(ISBLANK('Brd Link'!P48),"NA",'Brd Link'!P48)</f>
        <v>0</v>
      </c>
      <c r="Q52" s="670">
        <f t="shared" si="1"/>
        <v>2079815.6510645209</v>
      </c>
      <c r="R52" s="670">
        <f t="shared" si="0"/>
        <v>10</v>
      </c>
    </row>
    <row r="53" spans="1:18" s="6" customFormat="1" ht="15.75">
      <c r="A53" s="666">
        <v>2006</v>
      </c>
      <c r="B53" s="851">
        <f>IF(ISBLANK('Brd Link'!B54),"NA",'Brd Link'!B54)</f>
        <v>496.65672771368872</v>
      </c>
      <c r="C53" s="851">
        <f>IF(ISBLANK('Brd Link'!C53),"NA",'Brd Link'!C53)</f>
        <v>30741.151471378849</v>
      </c>
      <c r="D53" s="851">
        <f>IF(ISBLANK('Brd Link'!D53),"NA",'Brd Link'!D53)</f>
        <v>5212.4666426457889</v>
      </c>
      <c r="E53" s="851">
        <f>IF(ISBLANK('Brd Link'!E52),"NA",'Brd Link'!E52)</f>
        <v>65529.708631289825</v>
      </c>
      <c r="F53" s="981">
        <f>IF(ISBLANK('Brd Link'!F52),"NA",'Brd Link'!F52)</f>
        <v>401156.89491228049</v>
      </c>
      <c r="G53" s="851">
        <f>IF(ISBLANK('Brd Link'!G52),"NA",'Brd Link'!G52)</f>
        <v>0</v>
      </c>
      <c r="H53" s="851">
        <f>IF(ISBLANK('Brd Link'!H51),"NA",'Brd Link'!H51)</f>
        <v>705.54722736888255</v>
      </c>
      <c r="I53" s="851">
        <f>IF(ISBLANK('Brd Link'!I51),"NA",'Brd Link'!I51)</f>
        <v>1472393.5551385009</v>
      </c>
      <c r="J53" s="851">
        <f>IF(ISBLANK('Brd Link'!J51),"NA",'Brd Link'!J51)</f>
        <v>58197.772436206709</v>
      </c>
      <c r="K53" s="851">
        <f>IF(ISBLANK('Brd Link'!K50),"NA",'Brd Link'!K50)</f>
        <v>19917.217643672284</v>
      </c>
      <c r="L53" s="851">
        <f>IF(ISBLANK('Brd Link'!L50),"NA",'Brd Link'!L50)</f>
        <v>199645.74794608256</v>
      </c>
      <c r="M53" s="851">
        <f>IF(ISBLANK('Brd Link'!M50),"NA",'Brd Link'!M50)</f>
        <v>0</v>
      </c>
      <c r="N53" s="851">
        <f>IF(ISBLANK('Brd Link'!N49),"NA",'Brd Link'!N49)</f>
        <v>0</v>
      </c>
      <c r="O53" s="851">
        <f>IF(ISBLANK('Brd Link'!O49),"NA",'Brd Link'!O49)</f>
        <v>2446.8284440285997</v>
      </c>
      <c r="P53" s="851">
        <f>IF(ISBLANK('Brd Link'!P49),"NA",'Brd Link'!P49)</f>
        <v>116.45277883154473</v>
      </c>
      <c r="Q53" s="670">
        <f t="shared" si="1"/>
        <v>2256560.0000000005</v>
      </c>
      <c r="R53" s="670">
        <f t="shared" si="0"/>
        <v>8</v>
      </c>
    </row>
    <row r="54" spans="1:18" s="6" customFormat="1" ht="15.75">
      <c r="A54" s="666">
        <v>2007</v>
      </c>
      <c r="B54" s="851">
        <f>IF(ISBLANK('Brd Link'!B55),"NA",'Brd Link'!B55)</f>
        <v>0</v>
      </c>
      <c r="C54" s="851">
        <f>IF(ISBLANK('Brd Link'!C54),"NA",'Brd Link'!C54)</f>
        <v>4043.5996798855426</v>
      </c>
      <c r="D54" s="851">
        <f>IF(ISBLANK('Brd Link'!D54),"NA",'Brd Link'!D54)</f>
        <v>24293.51932402937</v>
      </c>
      <c r="E54" s="851">
        <f>IF(ISBLANK('Brd Link'!E53),"NA",'Brd Link'!E53)</f>
        <v>87317.420271431401</v>
      </c>
      <c r="F54" s="851">
        <f>IF(ISBLANK('Brd Link'!F53),"NA",'Brd Link'!F53)</f>
        <v>144497.9544226641</v>
      </c>
      <c r="G54" s="851">
        <f>IF(ISBLANK('Brd Link'!G53),"NA",'Brd Link'!G53)</f>
        <v>318.45817671709295</v>
      </c>
      <c r="H54" s="851">
        <f>IF(ISBLANK('Brd Link'!H52),"NA",'Brd Link'!H52)</f>
        <v>0</v>
      </c>
      <c r="I54" s="851">
        <f>IF(ISBLANK('Brd Link'!I52),"NA",'Brd Link'!I52)</f>
        <v>2281728.634522045</v>
      </c>
      <c r="J54" s="851">
        <f>IF(ISBLANK('Brd Link'!J52),"NA",'Brd Link'!J52)</f>
        <v>15367.679240517831</v>
      </c>
      <c r="K54" s="851">
        <f>IF(ISBLANK('Brd Link'!K51),"NA",'Brd Link'!K51)</f>
        <v>14181.492611144902</v>
      </c>
      <c r="L54" s="851">
        <f>IF(ISBLANK('Brd Link'!L51),"NA",'Brd Link'!L51)</f>
        <v>289597.85577016172</v>
      </c>
      <c r="M54" s="851">
        <f>IF(ISBLANK('Brd Link'!M51),"NA",'Brd Link'!M51)</f>
        <v>0</v>
      </c>
      <c r="N54" s="851">
        <f>IF(ISBLANK('Brd Link'!N50),"NA",'Brd Link'!N50)</f>
        <v>2377.7749162498399</v>
      </c>
      <c r="O54" s="851">
        <f>IF(ISBLANK('Brd Link'!O50),"NA",'Brd Link'!O50)</f>
        <v>3118.650108792594</v>
      </c>
      <c r="P54" s="851">
        <f>IF(ISBLANK('Brd Link'!P50),"NA",'Brd Link'!P50)</f>
        <v>0</v>
      </c>
      <c r="Q54" s="670">
        <f t="shared" si="1"/>
        <v>2866843.0390436398</v>
      </c>
      <c r="R54" s="670">
        <f t="shared" si="0"/>
        <v>4</v>
      </c>
    </row>
    <row r="55" spans="1:18" s="6" customFormat="1" ht="15.75">
      <c r="A55" s="666">
        <v>2008</v>
      </c>
      <c r="B55" s="851">
        <f>IF(ISBLANK('Brd Link'!B56),"NA",'Brd Link'!B56)</f>
        <v>254.77008482405844</v>
      </c>
      <c r="C55" s="851">
        <f>IF(ISBLANK('Brd Link'!C55),"NA",'Brd Link'!C55)</f>
        <v>5174.6524919781277</v>
      </c>
      <c r="D55" s="851">
        <f>IF(ISBLANK('Brd Link'!D55),"NA",'Brd Link'!D55)</f>
        <v>2664.0438512035921</v>
      </c>
      <c r="E55" s="851">
        <f>IF(ISBLANK('Brd Link'!E54),"NA",'Brd Link'!E54)</f>
        <v>15467.467798964146</v>
      </c>
      <c r="F55" s="851">
        <f>IF(ISBLANK('Brd Link'!F54),"NA",'Brd Link'!F54)</f>
        <v>103350.61858821202</v>
      </c>
      <c r="G55" s="851">
        <f>IF(ISBLANK('Brd Link'!G54),"NA",'Brd Link'!G54)</f>
        <v>0</v>
      </c>
      <c r="H55" s="851">
        <f>IF(ISBLANK('Brd Link'!H53),"NA",'Brd Link'!H53)</f>
        <v>352.25898000000001</v>
      </c>
      <c r="I55" s="851">
        <f>IF(ISBLANK('Brd Link'!I53),"NA",'Brd Link'!I53)</f>
        <v>796157.21431067027</v>
      </c>
      <c r="J55" s="851">
        <f>IF(ISBLANK('Brd Link'!J53),"NA",'Brd Link'!J53)</f>
        <v>15401.179969687904</v>
      </c>
      <c r="K55" s="851">
        <f>IF(ISBLANK('Brd Link'!K52),"NA",'Brd Link'!K52)</f>
        <v>13191.876829937037</v>
      </c>
      <c r="L55" s="851">
        <f>IF(ISBLANK('Brd Link'!L52),"NA",'Brd Link'!L52)</f>
        <v>113451.33767517553</v>
      </c>
      <c r="M55" s="851">
        <f>IF(ISBLANK('Brd Link'!M52),"NA",'Brd Link'!M52)</f>
        <v>0</v>
      </c>
      <c r="N55" s="851">
        <f>IF(ISBLANK('Brd Link'!N51),"NA",'Brd Link'!N51)</f>
        <v>42.797820000000002</v>
      </c>
      <c r="O55" s="851">
        <f>IF(ISBLANK('Brd Link'!O51),"NA",'Brd Link'!O51)</f>
        <v>883.2872793473482</v>
      </c>
      <c r="P55" s="851">
        <f>IF(ISBLANK('Brd Link'!P51),"NA",'Brd Link'!P51)</f>
        <v>0</v>
      </c>
      <c r="Q55" s="670">
        <f t="shared" si="1"/>
        <v>1066391.5056800002</v>
      </c>
      <c r="R55" s="670">
        <f>RANK($Q55,$Q$12:$Q$61)</f>
        <v>41</v>
      </c>
    </row>
    <row r="56" spans="1:18" s="6" customFormat="1" ht="15.75">
      <c r="A56" s="666">
        <v>2009</v>
      </c>
      <c r="B56" s="851">
        <f>IF(ISBLANK('Brd Link'!B57),"NA",'Brd Link'!B57)</f>
        <v>286.79789654863561</v>
      </c>
      <c r="C56" s="851">
        <f>IF(ISBLANK('Brd Link'!C56),"NA",'Brd Link'!C56)</f>
        <v>3126.8501930271573</v>
      </c>
      <c r="D56" s="851">
        <f>IF(ISBLANK('Brd Link'!D56),"NA",'Brd Link'!D56)</f>
        <v>1650.0452612052413</v>
      </c>
      <c r="E56" s="851">
        <f>IF(ISBLANK('Brd Link'!E55),"NA",'Brd Link'!E55)</f>
        <v>44060.106639328726</v>
      </c>
      <c r="F56" s="851">
        <f>IF(ISBLANK('Brd Link'!F55),"NA",'Brd Link'!F55)</f>
        <v>348675.14452879829</v>
      </c>
      <c r="G56" s="851">
        <f>IF(ISBLANK('Brd Link'!G55),"NA",'Brd Link'!G55)</f>
        <v>117.56209820629142</v>
      </c>
      <c r="H56" s="851">
        <f>IF(ISBLANK('Brd Link'!H54),"NA",'Brd Link'!H54)</f>
        <v>234.51992156794421</v>
      </c>
      <c r="I56" s="851">
        <f>IF(ISBLANK('Brd Link'!I54),"NA",'Brd Link'!I54)</f>
        <v>940457.62252988853</v>
      </c>
      <c r="J56" s="851">
        <f>IF(ISBLANK('Brd Link'!J54),"NA",'Brd Link'!J54)</f>
        <v>37854.670951031578</v>
      </c>
      <c r="K56" s="851">
        <f>IF(ISBLANK('Brd Link'!K53),"NA",'Brd Link'!K53)</f>
        <v>5754.333787077715</v>
      </c>
      <c r="L56" s="851">
        <f>IF(ISBLANK('Brd Link'!L53),"NA",'Brd Link'!L53)</f>
        <v>220613.2456254311</v>
      </c>
      <c r="M56" s="851">
        <f>IF(ISBLANK('Brd Link'!M53),"NA",'Brd Link'!M53)</f>
        <v>0</v>
      </c>
      <c r="N56" s="851">
        <f>IF(ISBLANK('Brd Link'!N52),"NA",'Brd Link'!N52)</f>
        <v>0</v>
      </c>
      <c r="O56" s="851">
        <f>IF(ISBLANK('Brd Link'!O52),"NA",'Brd Link'!O52)</f>
        <v>0</v>
      </c>
      <c r="P56" s="851">
        <f>IF(ISBLANK('Brd Link'!P52),"NA",'Brd Link'!P52)</f>
        <v>0</v>
      </c>
      <c r="Q56" s="670">
        <f t="shared" si="1"/>
        <v>1602830.8994321113</v>
      </c>
      <c r="R56" s="670">
        <f t="shared" ref="R56:R61" si="2">RANK($Q56,$Q$12:$Q$61)</f>
        <v>24</v>
      </c>
    </row>
    <row r="57" spans="1:18" s="6" customFormat="1" ht="15.75">
      <c r="A57" s="666">
        <v>2010</v>
      </c>
      <c r="B57" s="851">
        <f>IF(ISBLANK('Brd Link'!B58),"NA",'Brd Link'!B58)</f>
        <v>108.38835251698603</v>
      </c>
      <c r="C57" s="851">
        <f>IF(ISBLANK('Brd Link'!C57),"NA",'Brd Link'!C57)</f>
        <v>2703.6957470142597</v>
      </c>
      <c r="D57" s="851">
        <f>IF(ISBLANK('Brd Link'!D57),"NA",'Brd Link'!D57)</f>
        <v>7122.8852841586249</v>
      </c>
      <c r="E57" s="851">
        <f>IF(ISBLANK('Brd Link'!E56),"NA",'Brd Link'!E56)</f>
        <v>19349.812082381031</v>
      </c>
      <c r="F57" s="851">
        <f>IF(ISBLANK('Brd Link'!F56),"NA",'Brd Link'!F56)</f>
        <v>409775.58032286481</v>
      </c>
      <c r="G57" s="851">
        <f>IF(ISBLANK('Brd Link'!G56),"NA",'Brd Link'!G56)</f>
        <v>550.33620892887689</v>
      </c>
      <c r="H57" s="851">
        <f>IF(ISBLANK('Brd Link'!H55),"NA",'Brd Link'!H55)</f>
        <v>67.320917571997398</v>
      </c>
      <c r="I57" s="851">
        <f>IF(ISBLANK('Brd Link'!I55),"NA",'Brd Link'!I55)</f>
        <v>730494.56928830943</v>
      </c>
      <c r="J57" s="851">
        <f>IF(ISBLANK('Brd Link'!J55),"NA",'Brd Link'!J55)</f>
        <v>21592.29762588007</v>
      </c>
      <c r="K57" s="851">
        <f>IF(ISBLANK('Brd Link'!K54),"NA",'Brd Link'!K54)</f>
        <v>5088.5351002133557</v>
      </c>
      <c r="L57" s="851">
        <f>IF(ISBLANK('Brd Link'!L54),"NA",'Brd Link'!L54)</f>
        <v>86395.421938443425</v>
      </c>
      <c r="M57" s="851">
        <f>IF(ISBLANK('Brd Link'!M54),"NA",'Brd Link'!M54)</f>
        <v>0</v>
      </c>
      <c r="N57" s="851">
        <f>IF(ISBLANK('Brd Link'!N53),"NA",'Brd Link'!N53)</f>
        <v>304.83084718181954</v>
      </c>
      <c r="O57" s="851">
        <f>IF(ISBLANK('Brd Link'!O53),"NA",'Brd Link'!O53)</f>
        <v>1064.1571317171574</v>
      </c>
      <c r="P57" s="851">
        <f>IF(ISBLANK('Brd Link'!P53),"NA",'Brd Link'!P53)</f>
        <v>0</v>
      </c>
      <c r="Q57" s="670">
        <f t="shared" ref="Q57:Q58" si="3">SUM(B57:P57)</f>
        <v>1284617.8308471816</v>
      </c>
      <c r="R57" s="670">
        <f t="shared" si="2"/>
        <v>33</v>
      </c>
    </row>
    <row r="58" spans="1:18" s="6" customFormat="1" ht="15.75">
      <c r="A58" s="666">
        <v>2011</v>
      </c>
      <c r="B58" s="851">
        <f>IF(ISBLANK('Brd Link'!B59),"NA",'Brd Link'!B59)</f>
        <v>21.135974360879114</v>
      </c>
      <c r="C58" s="851">
        <f>IF(ISBLANK('Brd Link'!C58),"NA",'Brd Link'!C58)</f>
        <v>647.33814066849902</v>
      </c>
      <c r="D58" s="851">
        <f>IF(ISBLANK('Brd Link'!D58),"NA",'Brd Link'!D58)</f>
        <v>1305.1566504371583</v>
      </c>
      <c r="E58" s="851">
        <f>IF(ISBLANK('Brd Link'!E57),"NA",'Brd Link'!E57)</f>
        <v>88065.874441732492</v>
      </c>
      <c r="F58" s="851">
        <f>IF(ISBLANK('Brd Link'!F57),"NA",'Brd Link'!F57)</f>
        <v>442676.75714160182</v>
      </c>
      <c r="G58" s="851">
        <f>IF(ISBLANK('Brd Link'!G57),"NA",'Brd Link'!G57)</f>
        <v>21.135974360879114</v>
      </c>
      <c r="H58" s="851">
        <f>IF(ISBLANK('Brd Link'!H56),"NA",'Brd Link'!H56)</f>
        <v>0</v>
      </c>
      <c r="I58" s="851">
        <f>IF(ISBLANK('Brd Link'!I56),"NA",'Brd Link'!I56)</f>
        <v>1832418.5211423838</v>
      </c>
      <c r="J58" s="851">
        <f>IF(ISBLANK('Brd Link'!J56),"NA",'Brd Link'!J56)</f>
        <v>48233.678902116226</v>
      </c>
      <c r="K58" s="851">
        <f>IF(ISBLANK('Brd Link'!K55),"NA",'Brd Link'!K55)</f>
        <v>4608.6486199545343</v>
      </c>
      <c r="L58" s="851">
        <f>IF(ISBLANK('Brd Link'!L55),"NA",'Brd Link'!L55)</f>
        <v>127958.75301238397</v>
      </c>
      <c r="M58" s="851">
        <f>IF(ISBLANK('Brd Link'!M55),"NA",'Brd Link'!M55)</f>
        <v>0</v>
      </c>
      <c r="N58" s="851">
        <f>IF(ISBLANK('Brd Link'!N54),"NA",'Brd Link'!N54)</f>
        <v>0</v>
      </c>
      <c r="O58" s="851">
        <f>IF(ISBLANK('Brd Link'!O54),"NA",'Brd Link'!O54)</f>
        <v>0</v>
      </c>
      <c r="P58" s="851">
        <f>IF(ISBLANK('Brd Link'!P54),"NA",'Brd Link'!P54)</f>
        <v>0</v>
      </c>
      <c r="Q58" s="670">
        <f t="shared" si="3"/>
        <v>2545957</v>
      </c>
      <c r="R58" s="670">
        <f t="shared" si="2"/>
        <v>7</v>
      </c>
    </row>
    <row r="59" spans="1:18" s="6" customFormat="1" ht="15.75">
      <c r="A59" s="666">
        <v>2012</v>
      </c>
      <c r="B59" s="851">
        <f>IF(ISBLANK('Brd Link'!B60),"NA",'Brd Link'!B60)</f>
        <v>0</v>
      </c>
      <c r="C59" s="851">
        <f>IF(ISBLANK('Brd Link'!C59),"NA",'Brd Link'!C59)</f>
        <v>4431.9154839525181</v>
      </c>
      <c r="D59" s="851">
        <f>IF(ISBLANK('Brd Link'!D59),"NA",'Brd Link'!D59)</f>
        <v>2886.4787766376294</v>
      </c>
      <c r="E59" s="851">
        <f>IF(ISBLANK('Brd Link'!E58),"NA",'Brd Link'!E58)</f>
        <v>66185.625305681635</v>
      </c>
      <c r="F59" s="851">
        <f>IF(ISBLANK('Brd Link'!F58),"NA",'Brd Link'!F58)</f>
        <v>456063.26080517849</v>
      </c>
      <c r="G59" s="851">
        <f>IF(ISBLANK('Brd Link'!G58),"NA",'Brd Link'!G58)</f>
        <v>81.650962548750726</v>
      </c>
      <c r="H59" s="851">
        <f>IF(ISBLANK('Brd Link'!H57),"NA",'Brd Link'!H57)</f>
        <v>1539.6174690077498</v>
      </c>
      <c r="I59" s="851">
        <f>IF(ISBLANK('Brd Link'!I57),"NA",'Brd Link'!I57)</f>
        <v>2079282.070390793</v>
      </c>
      <c r="J59" s="851">
        <f>IF(ISBLANK('Brd Link'!J57),"NA",'Brd Link'!J57)</f>
        <v>105815.567379157</v>
      </c>
      <c r="K59" s="851">
        <f>IF(ISBLANK('Brd Link'!K56),"NA",'Brd Link'!K56)</f>
        <v>9989.2363635105503</v>
      </c>
      <c r="L59" s="851">
        <f>IF(ISBLANK('Brd Link'!L56),"NA",'Brd Link'!L56)</f>
        <v>105792.81658205001</v>
      </c>
      <c r="M59" s="851">
        <f>IF(ISBLANK('Brd Link'!M56),"NA",'Brd Link'!M56)</f>
        <v>0</v>
      </c>
      <c r="N59" s="851">
        <f>IF(ISBLANK('Brd Link'!N55),"NA",'Brd Link'!N55)</f>
        <v>0</v>
      </c>
      <c r="O59" s="851">
        <f>IF(ISBLANK('Brd Link'!O55),"NA",'Brd Link'!O55)</f>
        <v>871.60595659611806</v>
      </c>
      <c r="P59" s="851">
        <f>IF(ISBLANK('Brd Link'!P55),"NA",'Brd Link'!P55)</f>
        <v>0</v>
      </c>
      <c r="Q59" s="670">
        <f t="shared" ref="Q59" si="4">SUM(B59:P59)</f>
        <v>2832939.845475114</v>
      </c>
      <c r="R59" s="670">
        <f t="shared" si="2"/>
        <v>5</v>
      </c>
    </row>
    <row r="60" spans="1:18" s="6" customFormat="1" ht="15.75">
      <c r="A60" s="666">
        <v>2013</v>
      </c>
      <c r="B60" s="851">
        <f>IF(ISBLANK('Brd Link'!B61),"NA",'Brd Link'!B61)</f>
        <v>0</v>
      </c>
      <c r="C60" s="851">
        <f>IF(ISBLANK('Brd Link'!C60),"NA",'Brd Link'!C60)</f>
        <v>1462.4071264993372</v>
      </c>
      <c r="D60" s="851">
        <f>IF(ISBLANK('Brd Link'!D60),"NA",'Brd Link'!D60)</f>
        <v>1640.2265185314393</v>
      </c>
      <c r="E60" s="851">
        <f>IF(ISBLANK('Brd Link'!E59),"NA",'Brd Link'!E59)</f>
        <v>21868.070898967042</v>
      </c>
      <c r="F60" s="851">
        <f>IF(ISBLANK('Brd Link'!F59),"NA",'Brd Link'!F59)</f>
        <v>650733.61710635398</v>
      </c>
      <c r="G60" s="851">
        <f>IF(ISBLANK('Brd Link'!G59),"NA",'Brd Link'!G59)</f>
        <v>50.692215197238276</v>
      </c>
      <c r="H60" s="851">
        <f>IF(ISBLANK('Brd Link'!H58),"NA",'Brd Link'!H58)</f>
        <v>723.7254043873578</v>
      </c>
      <c r="I60" s="851">
        <f>IF(ISBLANK('Brd Link'!I58),"NA",'Brd Link'!I58)</f>
        <v>1478040.9578396173</v>
      </c>
      <c r="J60" s="851">
        <f>IF(ISBLANK('Brd Link'!J58),"NA",'Brd Link'!J58)</f>
        <v>85321.32444397136</v>
      </c>
      <c r="K60" s="851">
        <f>IF(ISBLANK('Brd Link'!K57),"NA",'Brd Link'!K57)</f>
        <v>30103.246635557702</v>
      </c>
      <c r="L60" s="851">
        <f>IF(ISBLANK('Brd Link'!L57),"NA",'Brd Link'!L57)</f>
        <v>294027.60562278749</v>
      </c>
      <c r="M60" s="851">
        <f>IF(ISBLANK('Brd Link'!M57),"NA",'Brd Link'!M57)</f>
        <v>0</v>
      </c>
      <c r="N60" s="851">
        <f>IF(ISBLANK('Brd Link'!N56),"NA",'Brd Link'!N56)</f>
        <v>0</v>
      </c>
      <c r="O60" s="851">
        <f>IF(ISBLANK('Brd Link'!O56),"NA",'Brd Link'!O56)</f>
        <v>1205.5867203358314</v>
      </c>
      <c r="P60" s="851">
        <f>IF(ISBLANK('Brd Link'!P56),"NA",'Brd Link'!P56)</f>
        <v>0</v>
      </c>
      <c r="Q60" s="670">
        <f t="shared" ref="Q60" si="5">SUM(B60:P60)</f>
        <v>2565177.4605322056</v>
      </c>
      <c r="R60" s="670">
        <f t="shared" si="2"/>
        <v>6</v>
      </c>
    </row>
    <row r="61" spans="1:18" s="6" customFormat="1" ht="15.75">
      <c r="A61" s="666">
        <v>2014</v>
      </c>
      <c r="B61" s="851">
        <f>IF(ISBLANK('Brd Link'!B62),"NA",'Brd Link'!B62)</f>
        <v>0</v>
      </c>
      <c r="C61" s="851">
        <f>IF(ISBLANK('Brd Link'!C61),"NA",'Brd Link'!C61)</f>
        <v>2443.0341520247948</v>
      </c>
      <c r="D61" s="851">
        <f>IF(ISBLANK('Brd Link'!D61),"NA",'Brd Link'!D61)</f>
        <v>11010.173564230177</v>
      </c>
      <c r="E61" s="851">
        <f>IF(ISBLANK('Brd Link'!E60),"NA",'Brd Link'!E60)</f>
        <v>13485.463639855541</v>
      </c>
      <c r="F61" s="851">
        <f>IF(ISBLANK('Brd Link'!F60),"NA",'Brd Link'!F60)</f>
        <v>696926.54247166798</v>
      </c>
      <c r="G61" s="851">
        <f>IF(ISBLANK('Brd Link'!G60),"NA",'Brd Link'!G60)</f>
        <v>678.45773587678514</v>
      </c>
      <c r="H61" s="851">
        <f>IF(ISBLANK('Brd Link'!H59),"NA",'Brd Link'!H59)</f>
        <v>431.06250261405228</v>
      </c>
      <c r="I61" s="851">
        <f>IF(ISBLANK('Brd Link'!I59),"NA",'Brd Link'!I59)</f>
        <v>1875957.0948617512</v>
      </c>
      <c r="J61" s="851">
        <f>IF(ISBLANK('Brd Link'!J59),"NA",'Brd Link'!J59)</f>
        <v>88660.226537754381</v>
      </c>
      <c r="K61" s="851">
        <f>IF(ISBLANK('Brd Link'!K58),"NA",'Brd Link'!K58)</f>
        <v>3376.3317495983974</v>
      </c>
      <c r="L61" s="851">
        <f>IF(ISBLANK('Brd Link'!L58),"NA",'Brd Link'!L58)</f>
        <v>179046.95112404649</v>
      </c>
      <c r="M61" s="851" t="str">
        <f>IF(ISBLANK('Brd Link'!M58),"NA",'Brd Link'!M58)</f>
        <v>NA</v>
      </c>
      <c r="N61" s="851">
        <f>IF(ISBLANK('Brd Link'!N57),"NA",'Brd Link'!N57)</f>
        <v>0</v>
      </c>
      <c r="O61" s="851">
        <f>IF(ISBLANK('Brd Link'!O57),"NA",'Brd Link'!O57)</f>
        <v>0</v>
      </c>
      <c r="P61" s="851">
        <f>IF(ISBLANK('Brd Link'!P57),"NA",'Brd Link'!P57)</f>
        <v>0</v>
      </c>
      <c r="Q61" s="670">
        <f t="shared" ref="Q61" si="6">SUM(B61:P61)</f>
        <v>2872015.33833942</v>
      </c>
      <c r="R61" s="670">
        <f t="shared" si="2"/>
        <v>3</v>
      </c>
    </row>
    <row r="62" spans="1:18" s="6" customFormat="1" ht="15.75">
      <c r="A62" s="705"/>
      <c r="B62" s="917"/>
      <c r="C62" s="917"/>
      <c r="D62" s="917"/>
      <c r="E62" s="917"/>
      <c r="F62" s="917"/>
      <c r="G62" s="917"/>
      <c r="H62" s="917"/>
      <c r="I62" s="917"/>
      <c r="J62" s="917"/>
      <c r="K62" s="917"/>
      <c r="L62" s="917"/>
      <c r="M62" s="917"/>
      <c r="N62" s="917"/>
      <c r="O62" s="917"/>
      <c r="P62" s="917"/>
      <c r="Q62" s="879"/>
    </row>
    <row r="63" spans="1:18" s="6" customFormat="1" ht="15.75">
      <c r="A63" s="863" t="s">
        <v>396</v>
      </c>
    </row>
    <row r="64" spans="1:18" s="6" customFormat="1" ht="16.5" thickBot="1">
      <c r="A64" s="863" t="s">
        <v>524</v>
      </c>
    </row>
    <row r="65" spans="1:17" s="6" customFormat="1" ht="15.75">
      <c r="A65" s="909">
        <v>2</v>
      </c>
      <c r="B65" s="910">
        <f>AVERAGE(INDEX(B$12:B$63,COUNT($A$12:$A$63),0):INDEX(B$12:B$63,COUNT($A$12:$A$63)-$A65+1,0))</f>
        <v>0</v>
      </c>
      <c r="C65" s="910">
        <f>AVERAGE(INDEX(C$12:C$63,COUNT($A$12:$A$63),0):INDEX(C$12:C$63,COUNT($A$12:$A$63)-$A65+1,0))</f>
        <v>1952.720639262066</v>
      </c>
      <c r="D65" s="918">
        <f>AVERAGE(INDEX(D$12:D$63,COUNT($A$12:$A$63),0):INDEX(D$12:D$63,COUNT($A$12:$A$63)-$A65+1,0))</f>
        <v>6325.2000413808082</v>
      </c>
      <c r="E65" s="918">
        <f>AVERAGE(INDEX(E$12:E$63,COUNT($A$12:$A$63),0):INDEX(E$12:E$63,COUNT($A$12:$A$63)-$A65+1,0))</f>
        <v>17676.767269411292</v>
      </c>
      <c r="F65" s="918">
        <f>AVERAGE(INDEX(F$12:F$63,COUNT($A$12:$A$63),0):INDEX(F$12:F$63,COUNT($A$12:$A$63)-$A65+1,0))</f>
        <v>673830.07978901104</v>
      </c>
      <c r="G65" s="910">
        <f>AVERAGE(INDEX(G$12:G$63,COUNT($A$12:$A$63),0):INDEX(G$12:G$63,COUNT($A$12:$A$63)-$A65+1,0))</f>
        <v>364.57497553701171</v>
      </c>
      <c r="H65" s="910">
        <f>AVERAGE(INDEX(H$12:H$63,COUNT($A$12:$A$63),0):INDEX(H$12:H$63,COUNT($A$12:$A$63)-$A65+1,0))</f>
        <v>577.39395350070504</v>
      </c>
      <c r="I65" s="918">
        <f>AVERAGE(INDEX(I$12:I$63,COUNT($A$12:$A$63),0):INDEX(I$12:I$63,COUNT($A$12:$A$63)-$A65+1,0))</f>
        <v>1676999.0263506842</v>
      </c>
      <c r="J65" s="918">
        <f>AVERAGE(INDEX(J$12:J$63,COUNT($A$12:$A$63),0):INDEX(J$12:J$63,COUNT($A$12:$A$63)-$A65+1,0))</f>
        <v>86990.77549086287</v>
      </c>
      <c r="K65" s="910">
        <f>AVERAGE(INDEX(K$12:K$63,COUNT($A$12:$A$63),0):INDEX(K$12:K$63,COUNT($A$12:$A$63)-$A65+1,0))</f>
        <v>16739.78919257805</v>
      </c>
      <c r="L65" s="918">
        <f>AVERAGE(INDEX(L$12:L$63,COUNT($A$12:$A$63),0):INDEX(L$12:L$63,COUNT($A$12:$A$63)-$A65+1,0))</f>
        <v>236537.27837341698</v>
      </c>
      <c r="M65" s="910">
        <f>AVERAGE(INDEX(M$12:M$63,COUNT($A$12:$A$63),0):INDEX(M$12:M$63,COUNT($A$12:$A$63)-$A65+1,0))</f>
        <v>0</v>
      </c>
      <c r="N65" s="910">
        <f>AVERAGE(INDEX(N$12:N$63,COUNT($A$12:$A$63),0):INDEX(N$12:N$63,COUNT($A$12:$A$63)-$A65+1,0))</f>
        <v>0</v>
      </c>
      <c r="O65" s="910">
        <f>AVERAGE(INDEX(O$12:O$63,COUNT($A$12:$A$63),0):INDEX(O$12:O$63,COUNT($A$12:$A$63)-$A65+1,0))</f>
        <v>602.79336016791569</v>
      </c>
      <c r="P65" s="910">
        <f>AVERAGE(INDEX(P$12:P$63,COUNT($A$12:$A$63),0):INDEX(P$12:P$63,COUNT($A$12:$A$63)-$A65+1,0))</f>
        <v>0</v>
      </c>
      <c r="Q65" s="911">
        <f>AVERAGE(INDEX(Q$12:Q$63,COUNT($A$12:$A$63),0):INDEX(Q$12:Q$63,COUNT($A$12:$A$63)-$A65+1,0))</f>
        <v>2718596.3994358126</v>
      </c>
    </row>
    <row r="66" spans="1:17" s="6" customFormat="1" ht="15.75">
      <c r="A66" s="912">
        <v>5</v>
      </c>
      <c r="B66" s="558">
        <f>AVERAGE(INDEX(B$12:B$63,COUNT($A$12:$A$63),0):INDEX(B$12:B$63,COUNT($A$12:$A$63)-$A66+1,0))</f>
        <v>25.904865375573031</v>
      </c>
      <c r="C66" s="558">
        <f>AVERAGE(INDEX(C$12:C$63,COUNT($A$12:$A$63),0):INDEX(C$12:C$63,COUNT($A$12:$A$63)-$A66+1,0))</f>
        <v>2337.6781300318817</v>
      </c>
      <c r="D66" s="919">
        <f>AVERAGE(INDEX(D$12:D$63,COUNT($A$12:$A$63),0):INDEX(D$12:D$63,COUNT($A$12:$A$63)-$A66+1,0))</f>
        <v>4792.9841587990059</v>
      </c>
      <c r="E66" s="919">
        <f>AVERAGE(INDEX(E$12:E$63,COUNT($A$12:$A$63),0):INDEX(E$12:E$63,COUNT($A$12:$A$63)-$A66+1,0))</f>
        <v>41790.969273723545</v>
      </c>
      <c r="F66" s="919">
        <f>AVERAGE(INDEX(F$12:F$63,COUNT($A$12:$A$63),0):INDEX(F$12:F$63,COUNT($A$12:$A$63)-$A66+1,0))</f>
        <v>531235.15156953339</v>
      </c>
      <c r="G66" s="558">
        <f>AVERAGE(INDEX(G$12:G$63,COUNT($A$12:$A$63),0):INDEX(G$12:G$63,COUNT($A$12:$A$63)-$A66+1,0))</f>
        <v>276.454619382506</v>
      </c>
      <c r="H66" s="558">
        <f>AVERAGE(INDEX(H$12:H$63,COUNT($A$12:$A$63),0):INDEX(H$12:H$63,COUNT($A$12:$A$63)-$A66+1,0))</f>
        <v>552.34525871623146</v>
      </c>
      <c r="I66" s="919">
        <f>AVERAGE(INDEX(I$12:I$63,COUNT($A$12:$A$63),0):INDEX(I$12:I$63,COUNT($A$12:$A$63)-$A66+1,0))</f>
        <v>1599238.6427045711</v>
      </c>
      <c r="J66" s="919">
        <f>AVERAGE(INDEX(J$12:J$63,COUNT($A$12:$A$63),0):INDEX(J$12:J$63,COUNT($A$12:$A$63)-$A66+1,0))</f>
        <v>69924.618977775812</v>
      </c>
      <c r="K66" s="558">
        <f>AVERAGE(INDEX(K$12:K$63,COUNT($A$12:$A$63),0):INDEX(K$12:K$63,COUNT($A$12:$A$63)-$A66+1,0))</f>
        <v>10633.199693766908</v>
      </c>
      <c r="L66" s="919">
        <f>AVERAGE(INDEX(L$12:L$63,COUNT($A$12:$A$63),0):INDEX(L$12:L$63,COUNT($A$12:$A$63)-$A66+1,0))</f>
        <v>158644.30965594226</v>
      </c>
      <c r="M66" s="558">
        <f>AVERAGE(INDEX(M$12:M$63,COUNT($A$12:$A$63),0):INDEX(M$12:M$63,COUNT($A$12:$A$63)-$A66+1,0))</f>
        <v>0</v>
      </c>
      <c r="N66" s="558">
        <f>AVERAGE(INDEX(N$12:N$63,COUNT($A$12:$A$63),0):INDEX(N$12:N$63,COUNT($A$12:$A$63)-$A66+1,0))</f>
        <v>60.966169436363906</v>
      </c>
      <c r="O66" s="558">
        <f>AVERAGE(INDEX(O$12:O$63,COUNT($A$12:$A$63),0):INDEX(O$12:O$63,COUNT($A$12:$A$63)-$A66+1,0))</f>
        <v>628.26996172982149</v>
      </c>
      <c r="P66" s="558">
        <f>AVERAGE(INDEX(P$12:P$63,COUNT($A$12:$A$63),0):INDEX(P$12:P$63,COUNT($A$12:$A$63)-$A66+1,0))</f>
        <v>0</v>
      </c>
      <c r="Q66" s="913">
        <f>AVERAGE(INDEX(Q$12:Q$63,COUNT($A$12:$A$63),0):INDEX(Q$12:Q$63,COUNT($A$12:$A$63)-$A66+1,0))</f>
        <v>2420141.4950387841</v>
      </c>
    </row>
    <row r="67" spans="1:17" s="6" customFormat="1" ht="15.75">
      <c r="A67" s="912">
        <v>10</v>
      </c>
      <c r="B67" s="558">
        <f>AVERAGE(INDEX(B$12:B$63,COUNT($A$12:$A$63),0):INDEX(B$12:B$63,COUNT($A$12:$A$63)-$A67+1,0))</f>
        <v>170.54590813334715</v>
      </c>
      <c r="C67" s="558">
        <f>AVERAGE(INDEX(C$12:C$63,COUNT($A$12:$A$63),0):INDEX(C$12:C$63,COUNT($A$12:$A$63)-$A67+1,0))</f>
        <v>7447.471355801712</v>
      </c>
      <c r="D67" s="919">
        <f>AVERAGE(INDEX(D$12:D$63,COUNT($A$12:$A$63),0):INDEX(D$12:D$63,COUNT($A$12:$A$63)-$A67+1,0))</f>
        <v>6387.5538701231244</v>
      </c>
      <c r="E67" s="919">
        <f>AVERAGE(INDEX(E$12:E$63,COUNT($A$12:$A$63),0):INDEX(E$12:E$63,COUNT($A$12:$A$63)-$A67+1,0))</f>
        <v>55356.634632845664</v>
      </c>
      <c r="F67" s="919">
        <f>AVERAGE(INDEX(F$12:F$63,COUNT($A$12:$A$63),0):INDEX(F$12:F$63,COUNT($A$12:$A$63)-$A67+1,0))</f>
        <v>391200.52534641995</v>
      </c>
      <c r="G67" s="558">
        <f>AVERAGE(INDEX(G$12:G$63,COUNT($A$12:$A$63),0):INDEX(G$12:G$63,COUNT($A$12:$A$63)-$A67+1,0))</f>
        <v>194.05095224443423</v>
      </c>
      <c r="H67" s="558">
        <f>AVERAGE(INDEX(H$12:H$63,COUNT($A$12:$A$63),0):INDEX(H$12:H$63,COUNT($A$12:$A$63)-$A67+1,0))</f>
        <v>498.31871408950803</v>
      </c>
      <c r="I67" s="919">
        <f>AVERAGE(INDEX(I$12:I$63,COUNT($A$12:$A$63),0):INDEX(I$12:I$63,COUNT($A$12:$A$63)-$A67+1,0))</f>
        <v>1492130.5364062022</v>
      </c>
      <c r="J67" s="919">
        <f>AVERAGE(INDEX(J$12:J$63,COUNT($A$12:$A$63),0):INDEX(J$12:J$63,COUNT($A$12:$A$63)-$A67+1,0))</f>
        <v>52483.958358303316</v>
      </c>
      <c r="K67" s="558">
        <f>AVERAGE(INDEX(K$12:K$63,COUNT($A$12:$A$63),0):INDEX(K$12:K$63,COUNT($A$12:$A$63)-$A67+1,0))</f>
        <v>11129.882430116697</v>
      </c>
      <c r="L67" s="919">
        <f>AVERAGE(INDEX(L$12:L$63,COUNT($A$12:$A$63),0):INDEX(L$12:L$63,COUNT($A$12:$A$63)-$A67+1,0))</f>
        <v>178998.37567023173</v>
      </c>
      <c r="M67" s="558">
        <f>AVERAGE(INDEX(M$12:M$63,COUNT($A$12:$A$63),0):INDEX(M$12:M$63,COUNT($A$12:$A$63)-$A67+1,0))</f>
        <v>0</v>
      </c>
      <c r="N67" s="558">
        <f>AVERAGE(INDEX(N$12:N$63,COUNT($A$12:$A$63),0):INDEX(N$12:N$63,COUNT($A$12:$A$63)-$A67+1,0))</f>
        <v>294.85170917459169</v>
      </c>
      <c r="O67" s="558">
        <f>AVERAGE(INDEX(O$12:O$63,COUNT($A$12:$A$63),0):INDEX(O$12:O$63,COUNT($A$12:$A$63)-$A67+1,0))</f>
        <v>1010.5064098497593</v>
      </c>
      <c r="P67" s="558">
        <f>AVERAGE(INDEX(P$12:P$63,COUNT($A$12:$A$63),0):INDEX(P$12:P$63,COUNT($A$12:$A$63)-$A67+1,0))</f>
        <v>11.645277883154474</v>
      </c>
      <c r="Q67" s="913">
        <f>AVERAGE(INDEX(Q$12:Q$63,COUNT($A$12:$A$63),0):INDEX(Q$12:Q$63,COUNT($A$12:$A$63)-$A67+1,0))</f>
        <v>2197314.8570414195</v>
      </c>
    </row>
    <row r="68" spans="1:17" s="6" customFormat="1" ht="15.75">
      <c r="A68" s="912">
        <v>20</v>
      </c>
      <c r="B68" s="558">
        <f>AVERAGE(INDEX(B$12:B$63,COUNT($A$12:$A$63),0):INDEX(B$12:B$63,COUNT($A$12:$A$63)-$A68+1,0))</f>
        <v>196.68815806112062</v>
      </c>
      <c r="C68" s="558">
        <f>AVERAGE(INDEX(C$12:C$63,COUNT($A$12:$A$63),0):INDEX(C$12:C$63,COUNT($A$12:$A$63)-$A68+1,0))</f>
        <v>13889.309859971374</v>
      </c>
      <c r="D68" s="919">
        <f>AVERAGE(INDEX(D$12:D$63,COUNT($A$12:$A$63),0):INDEX(D$12:D$63,COUNT($A$12:$A$63)-$A68+1,0))</f>
        <v>17831.362416043456</v>
      </c>
      <c r="E68" s="919">
        <f>AVERAGE(INDEX(E$12:E$63,COUNT($A$12:$A$63),0):INDEX(E$12:E$63,COUNT($A$12:$A$63)-$A68+1,0))</f>
        <v>111452.430589022</v>
      </c>
      <c r="F68" s="919">
        <f>AVERAGE(INDEX(F$12:F$63,COUNT($A$12:$A$63),0):INDEX(F$12:F$63,COUNT($A$12:$A$63)-$A68+1,0))</f>
        <v>345468.62556211557</v>
      </c>
      <c r="G68" s="558">
        <f>AVERAGE(INDEX(G$12:G$63,COUNT($A$12:$A$63),0):INDEX(G$12:G$63,COUNT($A$12:$A$63)-$A68+1,0))</f>
        <v>195.76806938442456</v>
      </c>
      <c r="H68" s="558">
        <f>AVERAGE(INDEX(H$12:H$63,COUNT($A$12:$A$63),0):INDEX(H$12:H$63,COUNT($A$12:$A$63)-$A68+1,0))</f>
        <v>1181.4275471028213</v>
      </c>
      <c r="I68" s="919">
        <f>AVERAGE(INDEX(I$12:I$63,COUNT($A$12:$A$63),0):INDEX(I$12:I$63,COUNT($A$12:$A$63)-$A68+1,0))</f>
        <v>1447172.6994733978</v>
      </c>
      <c r="J68" s="919">
        <f>AVERAGE(INDEX(J$12:J$63,COUNT($A$12:$A$63),0):INDEX(J$12:J$63,COUNT($A$12:$A$63)-$A68+1,0))</f>
        <v>40552.482118919012</v>
      </c>
      <c r="K68" s="558">
        <f>AVERAGE(INDEX(K$12:K$63,COUNT($A$12:$A$63),0):INDEX(K$12:K$63,COUNT($A$12:$A$63)-$A68+1,0))</f>
        <v>10514.429501634982</v>
      </c>
      <c r="L68" s="919">
        <f>AVERAGE(INDEX(L$12:L$63,COUNT($A$12:$A$63),0):INDEX(L$12:L$63,COUNT($A$12:$A$63)-$A68+1,0))</f>
        <v>139634.66868536576</v>
      </c>
      <c r="M68" s="558">
        <f>AVERAGE(INDEX(M$12:M$63,COUNT($A$12:$A$63),0):INDEX(M$12:M$63,COUNT($A$12:$A$63)-$A68+1,0))</f>
        <v>43.102514313501338</v>
      </c>
      <c r="N68" s="558">
        <f>AVERAGE(INDEX(N$12:N$63,COUNT($A$12:$A$63),0):INDEX(N$12:N$63,COUNT($A$12:$A$63)-$A68+1,0))</f>
        <v>158.06931629071244</v>
      </c>
      <c r="O68" s="558">
        <f>AVERAGE(INDEX(O$12:O$63,COUNT($A$12:$A$63),0):INDEX(O$12:O$63,COUNT($A$12:$A$63)-$A68+1,0))</f>
        <v>641.71659175823186</v>
      </c>
      <c r="P68" s="558">
        <f>AVERAGE(INDEX(P$12:P$63,COUNT($A$12:$A$63),0):INDEX(P$12:P$63,COUNT($A$12:$A$63)-$A68+1,0))</f>
        <v>6.636641441577237</v>
      </c>
      <c r="Q68" s="913">
        <f>AVERAGE(INDEX(Q$12:Q$63,COUNT($A$12:$A$63),0):INDEX(Q$12:Q$63,COUNT($A$12:$A$63)-$A68+1,0))</f>
        <v>2128937.2619191068</v>
      </c>
    </row>
    <row r="69" spans="1:17" s="6" customFormat="1" ht="15.75">
      <c r="A69" s="912">
        <v>30</v>
      </c>
      <c r="B69" s="558">
        <f>AVERAGE(INDEX(B$12:B$63,COUNT($A$12:$A$63),0):INDEX(B$12:B$63,COUNT($A$12:$A$63)-$A69+1,0))</f>
        <v>255.5657122601813</v>
      </c>
      <c r="C69" s="558">
        <f>AVERAGE(INDEX(C$12:C$63,COUNT($A$12:$A$63),0):INDEX(C$12:C$63,COUNT($A$12:$A$63)-$A69+1,0))</f>
        <v>15660.109160732811</v>
      </c>
      <c r="D69" s="919">
        <f>AVERAGE(INDEX(D$12:D$63,COUNT($A$12:$A$63),0):INDEX(D$12:D$63,COUNT($A$12:$A$63)-$A69+1,0))</f>
        <v>23517.106776430919</v>
      </c>
      <c r="E69" s="919">
        <f>AVERAGE(INDEX(E$12:E$63,COUNT($A$12:$A$63),0):INDEX(E$12:E$63,COUNT($A$12:$A$63)-$A69+1,0))</f>
        <v>121732.78807961733</v>
      </c>
      <c r="F69" s="919">
        <f>AVERAGE(INDEX(F$12:F$63,COUNT($A$12:$A$63),0):INDEX(F$12:F$63,COUNT($A$12:$A$63)-$A69+1,0))</f>
        <v>307334.10491312895</v>
      </c>
      <c r="G69" s="558">
        <f>AVERAGE(INDEX(G$12:G$63,COUNT($A$12:$A$63),0):INDEX(G$12:G$63,COUNT($A$12:$A$63)-$A69+1,0))</f>
        <v>328.5095753932236</v>
      </c>
      <c r="H69" s="558">
        <f>AVERAGE(INDEX(H$12:H$63,COUNT($A$12:$A$63),0):INDEX(H$12:H$63,COUNT($A$12:$A$63)-$A69+1,0))</f>
        <v>1360.4804072692345</v>
      </c>
      <c r="I69" s="919">
        <f>AVERAGE(INDEX(I$12:I$63,COUNT($A$12:$A$63),0):INDEX(I$12:I$63,COUNT($A$12:$A$63)-$A69+1,0))</f>
        <v>1309999.0140665427</v>
      </c>
      <c r="J69" s="919">
        <f>AVERAGE(INDEX(J$12:J$63,COUNT($A$12:$A$63),0):INDEX(J$12:J$63,COUNT($A$12:$A$63)-$A69+1,0))</f>
        <v>34262.298023281975</v>
      </c>
      <c r="K69" s="558">
        <f>AVERAGE(INDEX(K$12:K$63,COUNT($A$12:$A$63),0):INDEX(K$12:K$63,COUNT($A$12:$A$63)-$A69+1,0))</f>
        <v>9889.8916915594236</v>
      </c>
      <c r="L69" s="919">
        <f>AVERAGE(INDEX(L$12:L$63,COUNT($A$12:$A$63),0):INDEX(L$12:L$63,COUNT($A$12:$A$63)-$A69+1,0))</f>
        <v>135100.56970519651</v>
      </c>
      <c r="M69" s="558">
        <f>AVERAGE(INDEX(M$12:M$63,COUNT($A$12:$A$63),0):INDEX(M$12:M$63,COUNT($A$12:$A$63)-$A69+1,0))</f>
        <v>28.239578343328464</v>
      </c>
      <c r="N69" s="558">
        <f>AVERAGE(INDEX(N$12:N$63,COUNT($A$12:$A$63),0):INDEX(N$12:N$63,COUNT($A$12:$A$63)-$A69+1,0))</f>
        <v>127.38087942573401</v>
      </c>
      <c r="O69" s="558">
        <f>AVERAGE(INDEX(O$12:O$63,COUNT($A$12:$A$63),0):INDEX(O$12:O$63,COUNT($A$12:$A$63)-$A69+1,0))</f>
        <v>697.00574647755809</v>
      </c>
      <c r="P69" s="558">
        <f>AVERAGE(INDEX(P$12:P$63,COUNT($A$12:$A$63),0):INDEX(P$12:P$63,COUNT($A$12:$A$63)-$A69+1,0))</f>
        <v>70.115950572669718</v>
      </c>
      <c r="Q69" s="913">
        <f>AVERAGE(INDEX(Q$12:Q$63,COUNT($A$12:$A$63),0):INDEX(Q$12:Q$63,COUNT($A$12:$A$63)-$A69+1,0))</f>
        <v>1960362.2389469547</v>
      </c>
    </row>
    <row r="70" spans="1:17" s="6" customFormat="1" ht="16.5" thickBot="1">
      <c r="A70" s="914">
        <v>40</v>
      </c>
      <c r="B70" s="915">
        <f>AVERAGE(INDEX(B$12:B$63,COUNT($A$12:$A$63),0):INDEX(B$12:B$63,COUNT($A$12:$A$63)-$A70+1,0))</f>
        <v>191.67428419513595</v>
      </c>
      <c r="C70" s="915">
        <f>AVERAGE(INDEX(C$12:C$63,COUNT($A$12:$A$63),0):INDEX(C$12:C$63,COUNT($A$12:$A$63)-$A70+1,0))</f>
        <v>13040.20648024042</v>
      </c>
      <c r="D70" s="920">
        <f>AVERAGE(INDEX(D$12:D$63,COUNT($A$12:$A$63),0):INDEX(D$12:D$63,COUNT($A$12:$A$63)-$A70+1,0))</f>
        <v>21330.132165463085</v>
      </c>
      <c r="E70" s="920">
        <f>AVERAGE(INDEX(E$12:E$63,COUNT($A$12:$A$63),0):INDEX(E$12:E$63,COUNT($A$12:$A$63)-$A70+1,0))</f>
        <v>101814.63765337691</v>
      </c>
      <c r="F70" s="920">
        <f>AVERAGE(INDEX(F$12:F$63,COUNT($A$12:$A$63),0):INDEX(F$12:F$63,COUNT($A$12:$A$63)-$A70+1,0))</f>
        <v>272018.55808191845</v>
      </c>
      <c r="G70" s="915">
        <f>AVERAGE(INDEX(G$12:G$63,COUNT($A$12:$A$63),0):INDEX(G$12:G$63,COUNT($A$12:$A$63)-$A70+1,0))</f>
        <v>279.50456019594264</v>
      </c>
      <c r="H70" s="915">
        <f>AVERAGE(INDEX(H$12:H$63,COUNT($A$12:$A$63),0):INDEX(H$12:H$63,COUNT($A$12:$A$63)-$A70+1,0))</f>
        <v>1026.3722471196929</v>
      </c>
      <c r="I70" s="920">
        <f>AVERAGE(INDEX(I$12:I$63,COUNT($A$12:$A$63),0):INDEX(I$12:I$63,COUNT($A$12:$A$63)-$A70+1,0))</f>
        <v>1176876.4744683704</v>
      </c>
      <c r="J70" s="920">
        <f>AVERAGE(INDEX(J$12:J$63,COUNT($A$12:$A$63),0):INDEX(J$12:J$63,COUNT($A$12:$A$63)-$A70+1,0))</f>
        <v>30320.829144240783</v>
      </c>
      <c r="K70" s="915">
        <f>AVERAGE(INDEX(K$12:K$63,COUNT($A$12:$A$63),0):INDEX(K$12:K$63,COUNT($A$12:$A$63)-$A70+1,0))</f>
        <v>7951.9205257281301</v>
      </c>
      <c r="L70" s="920">
        <f>AVERAGE(INDEX(L$12:L$63,COUNT($A$12:$A$63),0):INDEX(L$12:L$63,COUNT($A$12:$A$63)-$A70+1,0))</f>
        <v>121110.54279414208</v>
      </c>
      <c r="M70" s="915">
        <f>AVERAGE(INDEX(M$12:M$63,COUNT($A$12:$A$63),0):INDEX(M$12:M$63,COUNT($A$12:$A$63)-$A70+1,0))</f>
        <v>48.206292940727515</v>
      </c>
      <c r="N70" s="915">
        <f>AVERAGE(INDEX(N$12:N$63,COUNT($A$12:$A$63),0):INDEX(N$12:N$63,COUNT($A$12:$A$63)-$A70+1,0))</f>
        <v>95.535659569300506</v>
      </c>
      <c r="O70" s="915">
        <f>AVERAGE(INDEX(O$12:O$63,COUNT($A$12:$A$63),0):INDEX(O$12:O$63,COUNT($A$12:$A$63)-$A70+1,0))</f>
        <v>529.83395693144018</v>
      </c>
      <c r="P70" s="915">
        <f>AVERAGE(INDEX(P$12:P$63,COUNT($A$12:$A$63),0):INDEX(P$12:P$63,COUNT($A$12:$A$63)-$A70+1,0))</f>
        <v>108.75363223244986</v>
      </c>
      <c r="Q70" s="916">
        <f>AVERAGE(INDEX(Q$12:Q$63,COUNT($A$12:$A$63),0):INDEX(Q$12:Q$63,COUNT($A$12:$A$63)-$A70+1,0))</f>
        <v>1746741.9767893418</v>
      </c>
    </row>
    <row r="71" spans="1:17" s="6" customFormat="1" ht="15.75"/>
    <row r="72" spans="1:17" s="6" customFormat="1" ht="15.75">
      <c r="A72" s="669"/>
      <c r="B72" s="669"/>
      <c r="C72" s="669"/>
      <c r="D72" s="669"/>
      <c r="E72" s="669"/>
      <c r="F72" s="669"/>
      <c r="G72" s="669"/>
      <c r="H72" s="669"/>
      <c r="I72" s="669"/>
      <c r="J72" s="669"/>
      <c r="K72" s="669"/>
      <c r="L72" s="669"/>
      <c r="M72" s="669"/>
      <c r="N72" s="669"/>
      <c r="O72" s="669"/>
      <c r="P72" s="669"/>
      <c r="Q72" s="669"/>
    </row>
    <row r="73" spans="1:17" s="6" customFormat="1" ht="15.75">
      <c r="A73" s="669"/>
      <c r="B73" s="558"/>
      <c r="C73" s="558"/>
      <c r="D73" s="558"/>
      <c r="E73" s="558"/>
      <c r="F73" s="558"/>
      <c r="G73" s="558"/>
      <c r="H73" s="558"/>
      <c r="I73" s="558"/>
      <c r="J73" s="558"/>
      <c r="K73" s="558"/>
      <c r="L73" s="558"/>
      <c r="M73" s="558"/>
      <c r="N73" s="558"/>
      <c r="O73" s="558"/>
      <c r="P73" s="558"/>
      <c r="Q73" s="558"/>
    </row>
    <row r="74" spans="1:17" s="6" customFormat="1" ht="15.75">
      <c r="B74" s="558"/>
      <c r="C74" s="558"/>
      <c r="D74" s="558"/>
      <c r="E74" s="558"/>
      <c r="F74" s="558"/>
      <c r="G74" s="558"/>
      <c r="H74" s="558"/>
      <c r="I74" s="558"/>
      <c r="J74" s="558"/>
      <c r="K74" s="558"/>
      <c r="L74" s="558"/>
      <c r="M74" s="558"/>
      <c r="N74" s="558"/>
      <c r="O74" s="558"/>
      <c r="P74" s="558"/>
      <c r="Q74" s="558"/>
    </row>
    <row r="75" spans="1:17" s="6" customFormat="1" ht="15.75">
      <c r="A75" s="669"/>
      <c r="B75" s="558"/>
      <c r="C75" s="558"/>
      <c r="D75" s="558"/>
      <c r="E75" s="558"/>
      <c r="F75" s="558"/>
      <c r="G75" s="558"/>
      <c r="H75" s="558"/>
      <c r="I75" s="558"/>
      <c r="J75" s="558"/>
      <c r="K75" s="558"/>
      <c r="L75" s="558"/>
      <c r="M75" s="558"/>
      <c r="N75" s="558"/>
      <c r="O75" s="558"/>
      <c r="P75" s="558"/>
      <c r="Q75" s="558"/>
    </row>
    <row r="76" spans="1:17" s="6" customFormat="1" ht="15.75">
      <c r="B76" s="669"/>
      <c r="C76" s="669"/>
      <c r="D76" s="669"/>
      <c r="E76" s="669"/>
      <c r="F76" s="669"/>
      <c r="G76" s="669"/>
      <c r="H76" s="669"/>
      <c r="I76" s="669"/>
      <c r="J76" s="669"/>
      <c r="K76" s="669"/>
      <c r="L76" s="669"/>
      <c r="M76" s="669"/>
      <c r="N76" s="669"/>
      <c r="O76" s="669"/>
      <c r="P76" s="669"/>
      <c r="Q76" s="669"/>
    </row>
    <row r="77" spans="1:17" s="6" customFormat="1" ht="15.75">
      <c r="B77" s="669"/>
      <c r="C77" s="669"/>
      <c r="D77" s="669"/>
      <c r="E77" s="669"/>
      <c r="F77" s="669"/>
      <c r="G77" s="669"/>
      <c r="H77" s="669"/>
      <c r="I77" s="669"/>
      <c r="J77" s="669"/>
      <c r="K77" s="669"/>
      <c r="L77" s="669"/>
      <c r="M77" s="669"/>
      <c r="N77" s="669"/>
      <c r="O77" s="669"/>
      <c r="P77" s="669"/>
      <c r="Q77" s="669"/>
    </row>
    <row r="78" spans="1:17" s="6" customFormat="1" ht="15.75"/>
    <row r="79" spans="1:17" s="6" customFormat="1" ht="15.75"/>
    <row r="80" spans="1:17" s="6" customFormat="1" ht="15.75"/>
    <row r="81" s="6" customFormat="1" ht="15.75"/>
    <row r="82" s="6" customFormat="1" ht="15.75"/>
    <row r="83" s="6" customFormat="1" ht="15.75"/>
    <row r="84" s="6" customFormat="1" ht="15.75"/>
    <row r="85" s="6" customFormat="1" ht="15.75"/>
    <row r="86" s="6" customFormat="1" ht="15.75"/>
    <row r="87" s="6" customFormat="1" ht="15.75"/>
    <row r="88" s="6" customFormat="1" ht="15.75"/>
    <row r="89" s="6" customFormat="1" ht="15.75"/>
    <row r="90" s="6" customFormat="1" ht="15.75"/>
    <row r="91" s="6" customFormat="1" ht="15.75"/>
    <row r="92" s="6" customFormat="1" ht="15.75"/>
    <row r="93" s="6" customFormat="1" ht="15.75"/>
    <row r="94" s="6" customFormat="1" ht="15.75"/>
    <row r="95" s="6" customFormat="1" ht="15.75"/>
    <row r="96" s="6" customFormat="1" ht="15.75"/>
    <row r="97" s="6" customFormat="1" ht="15.75"/>
    <row r="98" s="6" customFormat="1" ht="15.75"/>
    <row r="99" s="6" customFormat="1" ht="15.75"/>
    <row r="100" s="6" customFormat="1" ht="15.75"/>
    <row r="101" s="6" customFormat="1" ht="15.75"/>
    <row r="102" s="6" customFormat="1" ht="15.75"/>
    <row r="103" s="6" customFormat="1" ht="15.75"/>
    <row r="104" s="6" customFormat="1" ht="15.75"/>
    <row r="105" s="6" customFormat="1" ht="15.75"/>
    <row r="106" s="6" customFormat="1" ht="15.75"/>
    <row r="107" s="6" customFormat="1" ht="15.75"/>
    <row r="108" s="6" customFormat="1" ht="15.75"/>
    <row r="109" s="6" customFormat="1" ht="15.75"/>
    <row r="110" s="6" customFormat="1" ht="15.75"/>
    <row r="111" s="6" customFormat="1" ht="15.75"/>
    <row r="112" s="6" customFormat="1" ht="15.75"/>
    <row r="113" s="6" customFormat="1" ht="15.75"/>
    <row r="114" s="6" customFormat="1" ht="15.75"/>
    <row r="115" s="6" customFormat="1" ht="15.75"/>
    <row r="116" s="6" customFormat="1" ht="15.75"/>
    <row r="117" s="6" customFormat="1" ht="15.75"/>
    <row r="118" s="6" customFormat="1" ht="15.75"/>
    <row r="119" s="6" customFormat="1" ht="15.75"/>
    <row r="120" s="6" customFormat="1" ht="15.75"/>
    <row r="121" s="6" customFormat="1" ht="15.75"/>
    <row r="122" s="6" customFormat="1" ht="15.75"/>
    <row r="123" s="6" customFormat="1" ht="15.75"/>
    <row r="124" s="6" customFormat="1" ht="15.75"/>
    <row r="125" s="6" customFormat="1" ht="15.75"/>
    <row r="126" s="6" customFormat="1" ht="15.75"/>
    <row r="127" s="6" customFormat="1" ht="15.75"/>
    <row r="128" s="6" customFormat="1" ht="15.75"/>
    <row r="129" s="6" customFormat="1" ht="15.75"/>
    <row r="130" s="6" customFormat="1" ht="15.75"/>
    <row r="131" s="6" customFormat="1" ht="15.75"/>
    <row r="132" s="6" customFormat="1" ht="15.75"/>
    <row r="133" s="6" customFormat="1" ht="15.75"/>
    <row r="134" s="6" customFormat="1" ht="15.75"/>
    <row r="135" s="6" customFormat="1" ht="15.75"/>
    <row r="136" s="6" customFormat="1" ht="15.75"/>
    <row r="137" s="6" customFormat="1" ht="15.75"/>
    <row r="138" s="6" customFormat="1" ht="15.75"/>
    <row r="139" s="6" customFormat="1" ht="15.75"/>
    <row r="140" s="6" customFormat="1" ht="15.75"/>
    <row r="141" s="6" customFormat="1" ht="15.75"/>
    <row r="142" s="6" customFormat="1" ht="15.75"/>
    <row r="143" s="6" customFormat="1" ht="15.75"/>
    <row r="144" s="6" customFormat="1" ht="15.75"/>
    <row r="145" s="6" customFormat="1" ht="15.75"/>
    <row r="146" s="6" customFormat="1" ht="15.75"/>
    <row r="147" s="6" customFormat="1" ht="15.75"/>
    <row r="148" s="6" customFormat="1" ht="15.75"/>
    <row r="149" s="6" customFormat="1" ht="15.75"/>
    <row r="150" s="6" customFormat="1" ht="15.75"/>
    <row r="151" s="6" customFormat="1" ht="15.75"/>
    <row r="152" s="6" customFormat="1" ht="15.75"/>
    <row r="153" s="6" customFormat="1" ht="15.75"/>
    <row r="154" s="6" customFormat="1" ht="15.75"/>
    <row r="155" s="6" customFormat="1" ht="15.75"/>
    <row r="156" s="6" customFormat="1" ht="15.75"/>
    <row r="157" s="6" customFormat="1" ht="15.75"/>
    <row r="158" s="6" customFormat="1" ht="15.75"/>
    <row r="159" s="6" customFormat="1" ht="15.75"/>
    <row r="160" s="6" customFormat="1" ht="15.75"/>
    <row r="161" s="6" customFormat="1" ht="15.75"/>
    <row r="162" s="6" customFormat="1" ht="15.75"/>
    <row r="163" s="6" customFormat="1" ht="15.75"/>
    <row r="164" s="6" customFormat="1" ht="15.75"/>
    <row r="165" s="6" customFormat="1" ht="15.75"/>
    <row r="166" s="6" customFormat="1" ht="15.75"/>
    <row r="167" s="6" customFormat="1" ht="15.75"/>
    <row r="168" s="6" customFormat="1" ht="15.75"/>
    <row r="169" s="6" customFormat="1" ht="15.75"/>
    <row r="170" s="6" customFormat="1" ht="15.75"/>
    <row r="171" s="6" customFormat="1" ht="15.75"/>
    <row r="172" s="6" customFormat="1" ht="15.75"/>
    <row r="173" s="6" customFormat="1" ht="15.75"/>
    <row r="174" s="6" customFormat="1" ht="15.75"/>
    <row r="175" s="6" customFormat="1" ht="15.75"/>
    <row r="176" s="6" customFormat="1" ht="15.75"/>
    <row r="177" s="6" customFormat="1" ht="15.75"/>
    <row r="178" s="6" customFormat="1" ht="15.75"/>
    <row r="179" s="6" customFormat="1" ht="15.75"/>
    <row r="180" s="6" customFormat="1" ht="15.75"/>
    <row r="181" s="6" customFormat="1" ht="15.75"/>
    <row r="182" s="6" customFormat="1" ht="15.75"/>
    <row r="183" s="6" customFormat="1" ht="15.75"/>
    <row r="184" s="6" customFormat="1" ht="15.75"/>
    <row r="185" s="6" customFormat="1" ht="15.75"/>
    <row r="186" s="6" customFormat="1" ht="15.75"/>
    <row r="187" s="6" customFormat="1" ht="15.75"/>
    <row r="188" s="6" customFormat="1" ht="15.75"/>
    <row r="189" s="6" customFormat="1" ht="15.75"/>
    <row r="190" s="6" customFormat="1" ht="15.75"/>
    <row r="191" s="6" customFormat="1" ht="15.75"/>
    <row r="192" s="6" customFormat="1" ht="15.75"/>
    <row r="193" s="6" customFormat="1" ht="15.75"/>
    <row r="194" s="6" customFormat="1" ht="15.75"/>
    <row r="195" s="6" customFormat="1" ht="15.75"/>
    <row r="196" s="6" customFormat="1" ht="15.75"/>
    <row r="197" s="6" customFormat="1" ht="15.75"/>
    <row r="198" s="6" customFormat="1" ht="15.75"/>
    <row r="199" s="6" customFormat="1" ht="15.75"/>
    <row r="200" s="6" customFormat="1" ht="15.75"/>
    <row r="201" s="6" customFormat="1" ht="15.75"/>
    <row r="202" s="6" customFormat="1" ht="15.75"/>
    <row r="203" s="6" customFormat="1" ht="15.75"/>
    <row r="204" s="6" customFormat="1" ht="15.75"/>
    <row r="205" s="6" customFormat="1" ht="15.75"/>
    <row r="206" s="6" customFormat="1" ht="15.75"/>
    <row r="207" s="6" customFormat="1" ht="15.75"/>
    <row r="208" s="6" customFormat="1" ht="15.75"/>
    <row r="209" s="6" customFormat="1" ht="15.75"/>
    <row r="210" s="6" customFormat="1" ht="15.75"/>
    <row r="211" s="6" customFormat="1" ht="15.75"/>
    <row r="212" s="6" customFormat="1" ht="15.75"/>
    <row r="213" s="6" customFormat="1" ht="15.75"/>
    <row r="214" s="6" customFormat="1" ht="15.75"/>
    <row r="215" s="6" customFormat="1" ht="15.75"/>
    <row r="216" s="6" customFormat="1" ht="15.75"/>
    <row r="217" s="6" customFormat="1" ht="15.75"/>
    <row r="218" s="6" customFormat="1" ht="15.75"/>
    <row r="219" s="6" customFormat="1" ht="15.75"/>
    <row r="220" s="6" customFormat="1" ht="15.75"/>
    <row r="221" s="6" customFormat="1" ht="15.75"/>
    <row r="222" s="6" customFormat="1" ht="15.75"/>
    <row r="223" s="6" customFormat="1" ht="15.75"/>
    <row r="224" s="6" customFormat="1" ht="15.75"/>
    <row r="225" s="6" customFormat="1" ht="15.75"/>
    <row r="226" s="6" customFormat="1" ht="15.75"/>
    <row r="227" s="6" customFormat="1" ht="15.75"/>
    <row r="228" s="6" customFormat="1" ht="15.75"/>
    <row r="229" s="6" customFormat="1" ht="15.75"/>
    <row r="230" s="6" customFormat="1" ht="15.75"/>
    <row r="231" s="6" customFormat="1" ht="15.75"/>
    <row r="232" s="6" customFormat="1" ht="15.75"/>
    <row r="233" s="6" customFormat="1" ht="15.75"/>
    <row r="234" s="6" customFormat="1" ht="15.75"/>
    <row r="235" s="6" customFormat="1" ht="15.75"/>
    <row r="236" s="6" customFormat="1" ht="15.75"/>
    <row r="237" s="6" customFormat="1" ht="15.75"/>
    <row r="238" s="6" customFormat="1" ht="15.75"/>
    <row r="239" s="6" customFormat="1" ht="15.75"/>
    <row r="240" s="6" customFormat="1" ht="15.75"/>
    <row r="241" s="6" customFormat="1" ht="15.75"/>
    <row r="242" s="6" customFormat="1" ht="15.75"/>
    <row r="243" s="6" customFormat="1" ht="15.75"/>
    <row r="244" s="6" customFormat="1" ht="15.75"/>
    <row r="245" s="6" customFormat="1" ht="15.75"/>
    <row r="246" s="6" customFormat="1" ht="15.75"/>
    <row r="247" s="6" customFormat="1" ht="15.75"/>
    <row r="248" s="6" customFormat="1" ht="15.75"/>
    <row r="249" s="6" customFormat="1" ht="15.75"/>
    <row r="250" s="6" customFormat="1" ht="15.75"/>
    <row r="251" s="6" customFormat="1" ht="15.75"/>
    <row r="252" s="6" customFormat="1" ht="15.75"/>
    <row r="253" s="6" customFormat="1" ht="15.75"/>
    <row r="254" s="6" customFormat="1" ht="15.75"/>
    <row r="255" s="6" customFormat="1" ht="15.75"/>
    <row r="256" s="6" customFormat="1" ht="15.75"/>
    <row r="257" s="6" customFormat="1" ht="15.75"/>
    <row r="258" s="6" customFormat="1" ht="15.75"/>
    <row r="259" s="6" customFormat="1" ht="15.75"/>
    <row r="260" s="6" customFormat="1" ht="15.75"/>
    <row r="261" s="6" customFormat="1" ht="15.75"/>
    <row r="262" s="6" customFormat="1" ht="15.75"/>
    <row r="263" s="6" customFormat="1" ht="15.75"/>
    <row r="264" s="6" customFormat="1" ht="15.75"/>
    <row r="265" s="6" customFormat="1" ht="15.75"/>
    <row r="266" s="6" customFormat="1" ht="15.75"/>
    <row r="267" s="6" customFormat="1" ht="15.75"/>
    <row r="268" s="6" customFormat="1" ht="15.75"/>
    <row r="269" s="6" customFormat="1" ht="15.75"/>
    <row r="270" s="6" customFormat="1" ht="15.75"/>
    <row r="271" s="6" customFormat="1" ht="15.75"/>
    <row r="272" s="6" customFormat="1" ht="15.75"/>
    <row r="273" s="6" customFormat="1" ht="15.75"/>
    <row r="274" s="6" customFormat="1" ht="15.75"/>
    <row r="275" s="6" customFormat="1" ht="15.75"/>
    <row r="276" s="6" customFormat="1" ht="15.75"/>
    <row r="277" s="6" customFormat="1" ht="15.75"/>
    <row r="278" s="6" customFormat="1" ht="15.75"/>
    <row r="279" s="6" customFormat="1" ht="15.75"/>
    <row r="280" s="6" customFormat="1" ht="15.75"/>
    <row r="281" s="6" customFormat="1" ht="15.75"/>
    <row r="282" s="6" customFormat="1" ht="15.75"/>
    <row r="283" s="6" customFormat="1" ht="15.75"/>
    <row r="284" s="6" customFormat="1" ht="15.75"/>
    <row r="285" s="6" customFormat="1" ht="15.75"/>
    <row r="286" s="6" customFormat="1" ht="15.75"/>
    <row r="287" s="6" customFormat="1" ht="15.75"/>
    <row r="288" s="6" customFormat="1" ht="15.75"/>
    <row r="289" s="6" customFormat="1" ht="15.75"/>
    <row r="290" s="6" customFormat="1" ht="15.75"/>
    <row r="291" s="6" customFormat="1" ht="15.75"/>
    <row r="292" s="6" customFormat="1" ht="15.75"/>
    <row r="293" s="6" customFormat="1" ht="15.75"/>
    <row r="294" s="6" customFormat="1" ht="15.75"/>
    <row r="295" s="6" customFormat="1" ht="15.75"/>
    <row r="296" s="6" customFormat="1" ht="15.75"/>
    <row r="297" s="6" customFormat="1" ht="15.75"/>
    <row r="298" s="6" customFormat="1" ht="15.75"/>
    <row r="299" s="6" customFormat="1" ht="15.75"/>
    <row r="300" s="6" customFormat="1" ht="15.75"/>
    <row r="301" s="6" customFormat="1" ht="15.75"/>
    <row r="302" s="6" customFormat="1" ht="15.75"/>
    <row r="303" s="6" customFormat="1" ht="15.75"/>
    <row r="304" s="6" customFormat="1" ht="15.75"/>
    <row r="305" s="6" customFormat="1" ht="15.75"/>
    <row r="306" s="6" customFormat="1" ht="15.75"/>
    <row r="307" s="6" customFormat="1" ht="15.75"/>
    <row r="308" s="6" customFormat="1" ht="15.75"/>
    <row r="309" s="6" customFormat="1" ht="15.75"/>
    <row r="310" s="6" customFormat="1" ht="15.75"/>
    <row r="311" s="6" customFormat="1" ht="15.75"/>
    <row r="312" s="6" customFormat="1" ht="15.75"/>
    <row r="313" s="6" customFormat="1" ht="15.75"/>
    <row r="314" s="6" customFormat="1" ht="15.75"/>
    <row r="315" s="6" customFormat="1" ht="15.75"/>
    <row r="316" s="6" customFormat="1" ht="15.75"/>
    <row r="317" s="6" customFormat="1" ht="15.75"/>
    <row r="318" s="6" customFormat="1" ht="15.75"/>
    <row r="319" s="6" customFormat="1" ht="15.75"/>
    <row r="320" s="6" customFormat="1" ht="15.75"/>
    <row r="321" s="6" customFormat="1" ht="15.75"/>
    <row r="322" s="6" customFormat="1" ht="15.75"/>
    <row r="323" s="6" customFormat="1" ht="15.75"/>
    <row r="324" s="6" customFormat="1" ht="15.75"/>
    <row r="325" s="6" customFormat="1" ht="15.75"/>
    <row r="326" s="6" customFormat="1" ht="15.75"/>
    <row r="327" s="6" customFormat="1" ht="15.75"/>
    <row r="328" s="6" customFormat="1" ht="15.75"/>
    <row r="329" s="6" customFormat="1" ht="15.75"/>
    <row r="330" s="6" customFormat="1" ht="15.75"/>
    <row r="331" s="6" customFormat="1" ht="15.75"/>
    <row r="332" s="6" customFormat="1" ht="15.75"/>
    <row r="333" s="6" customFormat="1" ht="15.75"/>
    <row r="334" s="6" customFormat="1" ht="15.75"/>
    <row r="335" s="6" customFormat="1" ht="15.75"/>
    <row r="336" s="6" customFormat="1" ht="15.75"/>
    <row r="337" s="6" customFormat="1" ht="15.75"/>
    <row r="338" s="6" customFormat="1" ht="15.75"/>
    <row r="339" s="6" customFormat="1" ht="15.75"/>
    <row r="340" s="6" customFormat="1" ht="15.75"/>
    <row r="341" s="6" customFormat="1" ht="15.75"/>
    <row r="342" s="6" customFormat="1" ht="15.75"/>
    <row r="343" s="6" customFormat="1" ht="15.75"/>
    <row r="344" s="6" customFormat="1" ht="15.75"/>
    <row r="345" s="6" customFormat="1" ht="15.75"/>
    <row r="346" s="6" customFormat="1" ht="15.75"/>
    <row r="347" s="6" customFormat="1" ht="15.75"/>
    <row r="348" s="6" customFormat="1" ht="15.75"/>
    <row r="349" s="6" customFormat="1" ht="15.75"/>
    <row r="350" s="6" customFormat="1" ht="15.75"/>
    <row r="351" s="6" customFormat="1" ht="15.75"/>
    <row r="352" s="6" customFormat="1" ht="15.75"/>
    <row r="353" s="6" customFormat="1" ht="15.75"/>
    <row r="354" s="6" customFormat="1" ht="15.75"/>
    <row r="355" s="6" customFormat="1" ht="15.75"/>
    <row r="356" s="6" customFormat="1" ht="15.75"/>
    <row r="357" s="6" customFormat="1" ht="15.75"/>
    <row r="358" s="6" customFormat="1" ht="15.75"/>
    <row r="359" s="6" customFormat="1" ht="15.75"/>
    <row r="360" s="6" customFormat="1" ht="15.75"/>
    <row r="361" s="6" customFormat="1" ht="15.75"/>
    <row r="362" s="6" customFormat="1" ht="15.75"/>
    <row r="363" s="6" customFormat="1" ht="15.75"/>
    <row r="364" s="6" customFormat="1" ht="15.75"/>
    <row r="365" s="6" customFormat="1" ht="15.75"/>
    <row r="366" s="6" customFormat="1" ht="15.75"/>
    <row r="367" s="6" customFormat="1" ht="15.75"/>
    <row r="368" s="6" customFormat="1" ht="15.75"/>
    <row r="369" s="6" customFormat="1" ht="15.75"/>
    <row r="370" s="6" customFormat="1" ht="15.75"/>
    <row r="371" s="6" customFormat="1" ht="15.75"/>
    <row r="372" s="6" customFormat="1" ht="15.75"/>
    <row r="373" s="6" customFormat="1" ht="15.75"/>
    <row r="374" s="6" customFormat="1" ht="15.75"/>
    <row r="375" s="6" customFormat="1" ht="15.75"/>
    <row r="376" s="6" customFormat="1" ht="15.75"/>
    <row r="377" s="6" customFormat="1" ht="15.75"/>
    <row r="378" s="6" customFormat="1" ht="15.75"/>
    <row r="379" s="6" customFormat="1" ht="15.75"/>
    <row r="380" s="6" customFormat="1" ht="15.75"/>
    <row r="381" s="6" customFormat="1" ht="15.75"/>
    <row r="382" s="6" customFormat="1" ht="15.75"/>
    <row r="383" s="6" customFormat="1" ht="15.75"/>
    <row r="384" s="6" customFormat="1" ht="15.75"/>
    <row r="385" s="6" customFormat="1" ht="15.75"/>
    <row r="386" s="6" customFormat="1" ht="15.75"/>
    <row r="387" s="6" customFormat="1" ht="15.75"/>
    <row r="388" s="6" customFormat="1" ht="15.75"/>
    <row r="389" s="6" customFormat="1" ht="15.75"/>
    <row r="390" s="6" customFormat="1" ht="15.75"/>
    <row r="391" s="6" customFormat="1" ht="15.75"/>
    <row r="392" s="6" customFormat="1" ht="15.75"/>
    <row r="393" s="6" customFormat="1" ht="15.75"/>
    <row r="394" s="6" customFormat="1" ht="15.75"/>
    <row r="395" s="6" customFormat="1" ht="15.75"/>
    <row r="396" s="6" customFormat="1" ht="15.75"/>
    <row r="397" s="6" customFormat="1" ht="15.75"/>
    <row r="398" s="6" customFormat="1" ht="15.75"/>
    <row r="399" s="6" customFormat="1" ht="15.75"/>
    <row r="400" s="6" customFormat="1" ht="15.75"/>
    <row r="401" s="6" customFormat="1" ht="15.75"/>
    <row r="402" s="6" customFormat="1" ht="15.75"/>
    <row r="403" s="6" customFormat="1" ht="15.75"/>
    <row r="404" s="6" customFormat="1" ht="15.75"/>
    <row r="405" s="6" customFormat="1" ht="15.75"/>
    <row r="406" s="6" customFormat="1" ht="15.75"/>
    <row r="407" s="6" customFormat="1" ht="15.75"/>
    <row r="408" s="6" customFormat="1" ht="15.75"/>
    <row r="409" s="6" customFormat="1" ht="15.75"/>
    <row r="410" s="6" customFormat="1" ht="15.75"/>
    <row r="411" s="6" customFormat="1" ht="15.75"/>
    <row r="412" s="6" customFormat="1" ht="15.75"/>
    <row r="413" s="6" customFormat="1" ht="15.75"/>
    <row r="414" s="6" customFormat="1" ht="15.75"/>
    <row r="415" s="6" customFormat="1" ht="15.75"/>
    <row r="416" s="6" customFormat="1" ht="15.75"/>
    <row r="417" s="6" customFormat="1" ht="15.75"/>
    <row r="418" s="6" customFormat="1" ht="15.75"/>
    <row r="419" s="6" customFormat="1" ht="15.75"/>
    <row r="420" s="6" customFormat="1" ht="15.75"/>
    <row r="421" s="6" customFormat="1" ht="15.75"/>
    <row r="422" s="6" customFormat="1" ht="15.75"/>
    <row r="423" s="6" customFormat="1" ht="15.75"/>
    <row r="424" s="6" customFormat="1" ht="15.75"/>
    <row r="425" s="6" customFormat="1" ht="15.75"/>
    <row r="426" s="6" customFormat="1" ht="15.75"/>
    <row r="427" s="6" customFormat="1" ht="15.75"/>
    <row r="428" s="6" customFormat="1" ht="15.75"/>
    <row r="429" s="6" customFormat="1" ht="15.75"/>
    <row r="430" s="6" customFormat="1" ht="15.75"/>
    <row r="431" s="6" customFormat="1" ht="15.75"/>
    <row r="432" s="6" customFormat="1" ht="15.75"/>
    <row r="433" s="6" customFormat="1" ht="15.75"/>
    <row r="434" s="6" customFormat="1" ht="15.75"/>
    <row r="435" s="6" customFormat="1" ht="15.75"/>
    <row r="436" s="6" customFormat="1" ht="15.75"/>
    <row r="437" s="6" customFormat="1" ht="15.75"/>
    <row r="438" s="6" customFormat="1" ht="15.75"/>
    <row r="439" s="6" customFormat="1" ht="15.75"/>
    <row r="440" s="6" customFormat="1" ht="15.75"/>
    <row r="441" s="6" customFormat="1" ht="15.75"/>
    <row r="442" s="6" customFormat="1" ht="15.75"/>
    <row r="443" s="6" customFormat="1" ht="15.75"/>
    <row r="444" s="6" customFormat="1" ht="15.75"/>
    <row r="445" s="6" customFormat="1" ht="15.75"/>
    <row r="446" s="6" customFormat="1" ht="15.75"/>
    <row r="447" s="6" customFormat="1" ht="15.75"/>
    <row r="448" s="6" customFormat="1" ht="15.75"/>
    <row r="449" s="6" customFormat="1" ht="15.75"/>
    <row r="450" s="6" customFormat="1" ht="15.75"/>
    <row r="451" s="6" customFormat="1" ht="15.75"/>
    <row r="452" s="6" customFormat="1" ht="15.75"/>
    <row r="453" s="6" customFormat="1" ht="15.75"/>
    <row r="454" s="6" customFormat="1" ht="15.75"/>
    <row r="455" s="6" customFormat="1" ht="15.75"/>
    <row r="456" s="6" customFormat="1" ht="15.75"/>
    <row r="457" s="6" customFormat="1" ht="15.75"/>
    <row r="458" s="6" customFormat="1" ht="15.75"/>
    <row r="459" s="6" customFormat="1" ht="15.75"/>
    <row r="460" s="6" customFormat="1" ht="15.75"/>
    <row r="461" s="6" customFormat="1" ht="15.75"/>
    <row r="462" s="6" customFormat="1" ht="15.75"/>
    <row r="463" s="6" customFormat="1" ht="15.75"/>
    <row r="464" s="6" customFormat="1" ht="15.75"/>
    <row r="465" s="6" customFormat="1" ht="15.75"/>
    <row r="466" s="6" customFormat="1" ht="15.75"/>
    <row r="467" s="6" customFormat="1" ht="15.75"/>
    <row r="468" s="6" customFormat="1" ht="15.75"/>
    <row r="469" s="6" customFormat="1" ht="15.75"/>
    <row r="470" s="6" customFormat="1" ht="15.75"/>
    <row r="471" s="6" customFormat="1" ht="15.75"/>
    <row r="472" s="6" customFormat="1" ht="15.75"/>
    <row r="473" s="6" customFormat="1" ht="15.75"/>
    <row r="474" s="6" customFormat="1" ht="15.75"/>
    <row r="475" s="6" customFormat="1" ht="15.75"/>
    <row r="476" s="6" customFormat="1" ht="15.75"/>
    <row r="477" s="6" customFormat="1" ht="15.75"/>
    <row r="478" s="6" customFormat="1" ht="15.75"/>
    <row r="479" s="6" customFormat="1" ht="15.75"/>
    <row r="480" s="6" customFormat="1" ht="15.75"/>
    <row r="481" s="6" customFormat="1" ht="15.75"/>
    <row r="482" s="6" customFormat="1" ht="15.75"/>
    <row r="483" s="6" customFormat="1" ht="15.75"/>
    <row r="484" s="6" customFormat="1" ht="15.75"/>
    <row r="485" s="6" customFormat="1" ht="15.75"/>
    <row r="486" s="6" customFormat="1" ht="15.75"/>
    <row r="487" s="6" customFormat="1" ht="15.75"/>
    <row r="488" s="6" customFormat="1" ht="15.75"/>
    <row r="489" s="6" customFormat="1" ht="15.75"/>
    <row r="490" s="6" customFormat="1" ht="15.75"/>
    <row r="491" s="6" customFormat="1" ht="15.75"/>
    <row r="492" s="6" customFormat="1" ht="15.75"/>
    <row r="493" s="6" customFormat="1" ht="15.75"/>
    <row r="494" s="6" customFormat="1" ht="15.75"/>
    <row r="495" s="6" customFormat="1" ht="15.75"/>
    <row r="496" s="6" customFormat="1" ht="15.75"/>
    <row r="497" s="6" customFormat="1" ht="15.75"/>
    <row r="498" s="6" customFormat="1" ht="15.75"/>
    <row r="499" s="6" customFormat="1" ht="15.75"/>
    <row r="500" s="6" customFormat="1" ht="15.75"/>
    <row r="501" s="6" customFormat="1" ht="15.75"/>
    <row r="502" s="6" customFormat="1" ht="15.75"/>
    <row r="503" s="6" customFormat="1" ht="15.75"/>
    <row r="504" s="6" customFormat="1" ht="15.75"/>
    <row r="505" s="6" customFormat="1" ht="15.75"/>
    <row r="506" s="6" customFormat="1" ht="15.75"/>
    <row r="507" s="6" customFormat="1" ht="15.75"/>
    <row r="508" s="6" customFormat="1" ht="15.75"/>
    <row r="509" s="6" customFormat="1" ht="15.75"/>
    <row r="510" s="6" customFormat="1" ht="15.75"/>
    <row r="511" s="6" customFormat="1" ht="15.75"/>
    <row r="512" s="6" customFormat="1" ht="15.75"/>
    <row r="513" s="6" customFormat="1" ht="15.75"/>
    <row r="514" s="6" customFormat="1" ht="15.75"/>
    <row r="515" s="6" customFormat="1" ht="15.75"/>
    <row r="516" s="6" customFormat="1" ht="15.75"/>
    <row r="517" s="6" customFormat="1" ht="15.75"/>
    <row r="518" s="6" customFormat="1" ht="15.75"/>
    <row r="519" s="6" customFormat="1" ht="15.75"/>
    <row r="520" s="6" customFormat="1" ht="15.75"/>
    <row r="521" s="6" customFormat="1" ht="15.75"/>
    <row r="522" s="6" customFormat="1" ht="15.75"/>
    <row r="523" s="6" customFormat="1" ht="15.75"/>
    <row r="524" s="6" customFormat="1" ht="15.75"/>
    <row r="525" s="6" customFormat="1" ht="15.75"/>
    <row r="526" s="6" customFormat="1" ht="15.75"/>
    <row r="527" s="6" customFormat="1" ht="15.75"/>
    <row r="528" s="6" customFormat="1" ht="15.75"/>
    <row r="529" s="6" customFormat="1" ht="15.75"/>
    <row r="530" s="6" customFormat="1" ht="15.75"/>
    <row r="531" s="6" customFormat="1" ht="15.75"/>
    <row r="532" s="6" customFormat="1" ht="15.75"/>
    <row r="533" s="6" customFormat="1" ht="15.75"/>
    <row r="534" s="6" customFormat="1" ht="15.75"/>
    <row r="535" s="6" customFormat="1" ht="15.75"/>
    <row r="536" s="6" customFormat="1" ht="15.75"/>
    <row r="537" s="6" customFormat="1" ht="15.75"/>
    <row r="538" s="6" customFormat="1" ht="15.75"/>
    <row r="539" s="6" customFormat="1" ht="15.75"/>
    <row r="540" s="6" customFormat="1" ht="15.75"/>
    <row r="541" s="6" customFormat="1" ht="15.75"/>
    <row r="542" s="6" customFormat="1" ht="15.75"/>
    <row r="543" s="6" customFormat="1" ht="15.75"/>
    <row r="544" s="6" customFormat="1" ht="15.75"/>
    <row r="545" s="6" customFormat="1" ht="15.75"/>
    <row r="546" s="6" customFormat="1" ht="15.75"/>
    <row r="547" s="6" customFormat="1" ht="15.75"/>
    <row r="548" s="6" customFormat="1" ht="15.75"/>
    <row r="549" s="6" customFormat="1" ht="15.75"/>
    <row r="550" s="6" customFormat="1" ht="15.75"/>
    <row r="551" s="6" customFormat="1" ht="15.75"/>
    <row r="552" s="6" customFormat="1" ht="15.75"/>
    <row r="553" s="6" customFormat="1" ht="15.75"/>
    <row r="554" s="6" customFormat="1" ht="15.75"/>
    <row r="555" s="6" customFormat="1" ht="15.75"/>
    <row r="556" s="6" customFormat="1" ht="15.75"/>
    <row r="557" s="6" customFormat="1" ht="15.75"/>
    <row r="558" s="6" customFormat="1" ht="15.75"/>
    <row r="559" s="6" customFormat="1" ht="15.75"/>
    <row r="560" s="6" customFormat="1" ht="15.75"/>
    <row r="561" s="6" customFormat="1" ht="15.75"/>
    <row r="562" s="6" customFormat="1" ht="15.75"/>
    <row r="563" s="6" customFormat="1" ht="15.75"/>
    <row r="564" s="6" customFormat="1" ht="15.75"/>
    <row r="565" s="6" customFormat="1" ht="15.75"/>
    <row r="566" s="6" customFormat="1" ht="15.75"/>
    <row r="567" s="6" customFormat="1" ht="15.75"/>
    <row r="568" s="6" customFormat="1" ht="15.75"/>
    <row r="569" s="6" customFormat="1" ht="15.75"/>
    <row r="570" s="6" customFormat="1" ht="15.75"/>
    <row r="571" s="6" customFormat="1" ht="15.75"/>
    <row r="572" s="6" customFormat="1" ht="15.75"/>
    <row r="573" s="6" customFormat="1" ht="15.75"/>
    <row r="574" s="6" customFormat="1" ht="15.75"/>
    <row r="575" s="6" customFormat="1" ht="15.75"/>
    <row r="576" s="6" customFormat="1" ht="15.75"/>
    <row r="577" s="6" customFormat="1" ht="15.75"/>
    <row r="578" s="6" customFormat="1" ht="15.75"/>
    <row r="579" s="6" customFormat="1" ht="15.75"/>
    <row r="580" s="6" customFormat="1" ht="15.75"/>
    <row r="581" s="6" customFormat="1" ht="15.75"/>
    <row r="582" s="6" customFormat="1" ht="15.75"/>
    <row r="583" s="6" customFormat="1" ht="15.75"/>
    <row r="584" s="6" customFormat="1" ht="15.75"/>
    <row r="585" s="6" customFormat="1" ht="15.75"/>
    <row r="586" s="6" customFormat="1" ht="15.75"/>
    <row r="587" s="6" customFormat="1" ht="15.75"/>
    <row r="588" s="6" customFormat="1" ht="15.75"/>
    <row r="589" s="6" customFormat="1" ht="15.75"/>
    <row r="590" s="6" customFormat="1" ht="15.75"/>
    <row r="591" s="6" customFormat="1" ht="15.75"/>
    <row r="592" s="6" customFormat="1" ht="15.75"/>
    <row r="593" s="6" customFormat="1" ht="15.75"/>
    <row r="594" s="6" customFormat="1" ht="15.75"/>
    <row r="595" s="6" customFormat="1" ht="15.75"/>
    <row r="596" s="6" customFormat="1" ht="15.75"/>
    <row r="597" s="6" customFormat="1" ht="15.75"/>
    <row r="598" s="6" customFormat="1" ht="15.75"/>
    <row r="599" s="6" customFormat="1" ht="15.75"/>
    <row r="600" s="6" customFormat="1" ht="15.75"/>
    <row r="601" s="6" customFormat="1" ht="15.75"/>
    <row r="602" s="6" customFormat="1" ht="15.75"/>
    <row r="603" s="6" customFormat="1" ht="15.75"/>
    <row r="604" s="6" customFormat="1" ht="15.75"/>
    <row r="605" s="6" customFormat="1" ht="15.75"/>
    <row r="606" s="6" customFormat="1" ht="15.75"/>
    <row r="607" s="6" customFormat="1" ht="15.75"/>
    <row r="608" s="6" customFormat="1" ht="15.75"/>
    <row r="609" s="6" customFormat="1" ht="15.75"/>
    <row r="610" s="6" customFormat="1" ht="15.75"/>
    <row r="611" s="6" customFormat="1" ht="15.75"/>
    <row r="612" s="6" customFormat="1" ht="15.75"/>
    <row r="613" s="6" customFormat="1" ht="15.75"/>
    <row r="614" s="6" customFormat="1" ht="15.75"/>
    <row r="615" s="6" customFormat="1" ht="15.75"/>
    <row r="616" s="6" customFormat="1" ht="15.75"/>
    <row r="617" s="6" customFormat="1" ht="15.75"/>
    <row r="618" s="6" customFormat="1" ht="15.75"/>
    <row r="619" s="6" customFormat="1" ht="15.75"/>
    <row r="620" s="6" customFormat="1" ht="15.75"/>
    <row r="621" s="6" customFormat="1" ht="15.75"/>
    <row r="622" s="6" customFormat="1" ht="15.75"/>
    <row r="623" s="6" customFormat="1" ht="15.75"/>
    <row r="624" s="6" customFormat="1" ht="15.75"/>
    <row r="625" s="6" customFormat="1" ht="15.75"/>
    <row r="626" s="6" customFormat="1" ht="15.75"/>
    <row r="627" s="6" customFormat="1" ht="15.75"/>
    <row r="628" s="6" customFormat="1" ht="15.75"/>
    <row r="629" s="6" customFormat="1" ht="15.75"/>
    <row r="630" s="6" customFormat="1" ht="15.75"/>
    <row r="631" s="6" customFormat="1" ht="15.75"/>
    <row r="632" s="6" customFormat="1" ht="15.75"/>
    <row r="633" s="6" customFormat="1" ht="15.75"/>
    <row r="634" s="6" customFormat="1" ht="15.75"/>
    <row r="635" s="6" customFormat="1" ht="15.75"/>
    <row r="636" s="6" customFormat="1" ht="15.75"/>
    <row r="637" s="6" customFormat="1" ht="15.75"/>
    <row r="638" s="6" customFormat="1" ht="15.75"/>
    <row r="639" s="6" customFormat="1" ht="15.75"/>
    <row r="640" s="6" customFormat="1" ht="15.75"/>
    <row r="641" s="6" customFormat="1" ht="15.75"/>
    <row r="642" s="6" customFormat="1" ht="15.75"/>
    <row r="643" s="6" customFormat="1" ht="15.75"/>
    <row r="644" s="6" customFormat="1" ht="15.75"/>
    <row r="645" s="6" customFormat="1" ht="15.75"/>
    <row r="646" s="6" customFormat="1" ht="15.75"/>
    <row r="647" s="6" customFormat="1" ht="15.75"/>
    <row r="648" s="6" customFormat="1" ht="15.75"/>
    <row r="649" s="6" customFormat="1" ht="15.75"/>
    <row r="650" s="6" customFormat="1" ht="15.75"/>
    <row r="651" s="6" customFormat="1" ht="15.75"/>
    <row r="652" s="6" customFormat="1" ht="15.75"/>
    <row r="653" s="6" customFormat="1" ht="15.75"/>
    <row r="654" s="6" customFormat="1" ht="15.75"/>
    <row r="655" s="6" customFormat="1" ht="15.75"/>
    <row r="656" s="6" customFormat="1" ht="15.75"/>
    <row r="657" s="6" customFormat="1" ht="15.75"/>
    <row r="658" s="6" customFormat="1" ht="15.75"/>
    <row r="659" s="6" customFormat="1" ht="15.75"/>
    <row r="660" s="6" customFormat="1" ht="15.75"/>
    <row r="661" s="6" customFormat="1" ht="15.75"/>
    <row r="662" s="6" customFormat="1" ht="15.75"/>
    <row r="663" s="6" customFormat="1" ht="15.75"/>
    <row r="664" s="6" customFormat="1" ht="15.75"/>
    <row r="665" s="6" customFormat="1" ht="15.75"/>
    <row r="666" s="6" customFormat="1" ht="15.75"/>
    <row r="667" s="6" customFormat="1" ht="15.75"/>
    <row r="668" s="6" customFormat="1" ht="15.75"/>
    <row r="669" s="6" customFormat="1" ht="15.75"/>
    <row r="670" s="6" customFormat="1" ht="15.75"/>
    <row r="671" s="6" customFormat="1" ht="15.75"/>
    <row r="672" s="6" customFormat="1" ht="15.75"/>
    <row r="673" s="6" customFormat="1" ht="15.75"/>
    <row r="674" s="6" customFormat="1" ht="15.75"/>
    <row r="675" s="6" customFormat="1" ht="15.75"/>
    <row r="676" s="6" customFormat="1" ht="15.75"/>
    <row r="677" s="6" customFormat="1" ht="15.75"/>
    <row r="678" s="6" customFormat="1" ht="15.75"/>
    <row r="679" s="6" customFormat="1" ht="15.75"/>
    <row r="680" s="6" customFormat="1" ht="15.75"/>
    <row r="681" s="6" customFormat="1" ht="15.75"/>
    <row r="682" s="6" customFormat="1" ht="15.75"/>
    <row r="683" s="6" customFormat="1" ht="15.75"/>
    <row r="684" s="6" customFormat="1" ht="15.75"/>
    <row r="685" s="6" customFormat="1" ht="15.75"/>
    <row r="686" s="6" customFormat="1" ht="15.75"/>
    <row r="687" s="6" customFormat="1" ht="15.75"/>
    <row r="688" s="6" customFormat="1" ht="15.75"/>
    <row r="689" s="6" customFormat="1" ht="15.75"/>
    <row r="690" s="6" customFormat="1" ht="15.75"/>
    <row r="691" s="6" customFormat="1" ht="15.75"/>
    <row r="692" s="6" customFormat="1" ht="15.75"/>
    <row r="693" s="6" customFormat="1" ht="15.75"/>
    <row r="694" s="6" customFormat="1" ht="15.75"/>
    <row r="695" s="6" customFormat="1" ht="15.75"/>
    <row r="696" s="6" customFormat="1" ht="15.75"/>
    <row r="697" s="6" customFormat="1" ht="15.75"/>
    <row r="698" s="6" customFormat="1" ht="15.75"/>
    <row r="699" s="6" customFormat="1" ht="15.75"/>
    <row r="700" s="6" customFormat="1" ht="15.75"/>
    <row r="701" s="6" customFormat="1" ht="15.75"/>
    <row r="702" s="6" customFormat="1" ht="15.75"/>
    <row r="703" s="6" customFormat="1" ht="15.75"/>
    <row r="704" s="6" customFormat="1" ht="15.75"/>
    <row r="705" s="6" customFormat="1" ht="15.75"/>
    <row r="706" s="6" customFormat="1" ht="15.75"/>
    <row r="707" s="6" customFormat="1" ht="15.75"/>
    <row r="708" s="6" customFormat="1" ht="15.75"/>
    <row r="709" s="6" customFormat="1" ht="15.75"/>
    <row r="710" s="6" customFormat="1" ht="15.75"/>
    <row r="711" s="6" customFormat="1" ht="15.75"/>
    <row r="712" s="6" customFormat="1" ht="15.75"/>
    <row r="713" s="6" customFormat="1" ht="15.75"/>
    <row r="714" s="6" customFormat="1" ht="15.75"/>
    <row r="715" s="6" customFormat="1" ht="15.75"/>
    <row r="716" s="6" customFormat="1" ht="15.75"/>
    <row r="717" s="6" customFormat="1" ht="15.75"/>
    <row r="718" s="6" customFormat="1" ht="15.75"/>
    <row r="719" s="6" customFormat="1" ht="15.75"/>
    <row r="720" s="6" customFormat="1" ht="15.75"/>
    <row r="721" s="6" customFormat="1" ht="15.75"/>
    <row r="722" s="6" customFormat="1" ht="15.75"/>
    <row r="723" s="6" customFormat="1" ht="15.75"/>
    <row r="724" s="6" customFormat="1" ht="15.75"/>
    <row r="725" s="6" customFormat="1" ht="15.75"/>
    <row r="726" s="6" customFormat="1" ht="15.75"/>
    <row r="727" s="6" customFormat="1" ht="15.75"/>
    <row r="728" s="6" customFormat="1" ht="15.75"/>
    <row r="729" s="6" customFormat="1" ht="15.75"/>
    <row r="730" s="6" customFormat="1" ht="15.75"/>
    <row r="731" s="6" customFormat="1" ht="15.75"/>
    <row r="732" s="6" customFormat="1" ht="15.75"/>
    <row r="733" s="6" customFormat="1" ht="15.75"/>
    <row r="734" s="6" customFormat="1" ht="15.75"/>
    <row r="735" s="6" customFormat="1" ht="15.75"/>
    <row r="736" s="6" customFormat="1" ht="15.75"/>
    <row r="737" s="6" customFormat="1" ht="15.75"/>
    <row r="738" s="6" customFormat="1" ht="15.75"/>
    <row r="739" s="6" customFormat="1" ht="15.75"/>
    <row r="740" s="6" customFormat="1" ht="15.75"/>
    <row r="741" s="6" customFormat="1" ht="15.75"/>
    <row r="742" s="6" customFormat="1" ht="15.75"/>
    <row r="743" s="6" customFormat="1" ht="15.75"/>
    <row r="744" s="6" customFormat="1" ht="15.75"/>
    <row r="745" s="6" customFormat="1" ht="15.75"/>
    <row r="746" s="6" customFormat="1" ht="15.75"/>
    <row r="747" s="6" customFormat="1" ht="15.75"/>
    <row r="748" s="6" customFormat="1" ht="15.75"/>
    <row r="749" s="6" customFormat="1" ht="15.75"/>
    <row r="750" s="6" customFormat="1" ht="15.75"/>
    <row r="751" s="6" customFormat="1" ht="15.75"/>
    <row r="752" s="6" customFormat="1" ht="15.75"/>
    <row r="753" s="6" customFormat="1" ht="15.75"/>
    <row r="754" s="6" customFormat="1" ht="15.75"/>
    <row r="755" s="6" customFormat="1" ht="15.75"/>
    <row r="756" s="6" customFormat="1" ht="15.75"/>
    <row r="757" s="6" customFormat="1" ht="15.75"/>
    <row r="758" s="6" customFormat="1" ht="15.75"/>
    <row r="759" s="6" customFormat="1" ht="15.75"/>
    <row r="760" s="6" customFormat="1" ht="15.75"/>
    <row r="761" s="6" customFormat="1" ht="15.75"/>
    <row r="762" s="6" customFormat="1" ht="15.75"/>
    <row r="763" s="6" customFormat="1" ht="15.75"/>
    <row r="764" s="6" customFormat="1" ht="15.75"/>
    <row r="765" s="6" customFormat="1" ht="15.75"/>
    <row r="766" s="6" customFormat="1" ht="15.75"/>
    <row r="767" s="6" customFormat="1" ht="15.75"/>
    <row r="768" s="6" customFormat="1" ht="15.75"/>
    <row r="769" s="6" customFormat="1" ht="15.75"/>
    <row r="770" s="6" customFormat="1" ht="15.75"/>
    <row r="771" s="6" customFormat="1" ht="15.75"/>
    <row r="772" s="6" customFormat="1" ht="15.75"/>
    <row r="773" s="6" customFormat="1" ht="15.75"/>
    <row r="774" s="6" customFormat="1" ht="15.75"/>
    <row r="775" s="6" customFormat="1" ht="15.75"/>
    <row r="776" s="6" customFormat="1" ht="15.75"/>
    <row r="777" s="6" customFormat="1" ht="15.75"/>
    <row r="778" s="6" customFormat="1" ht="15.75"/>
    <row r="779" s="6" customFormat="1" ht="15.75"/>
    <row r="780" s="6" customFormat="1" ht="15.75"/>
    <row r="781" s="6" customFormat="1" ht="15.75"/>
    <row r="782" s="6" customFormat="1" ht="15.75"/>
    <row r="783" s="6" customFormat="1" ht="15.75"/>
    <row r="784" s="6" customFormat="1" ht="15.75"/>
    <row r="785" s="6" customFormat="1" ht="15.75"/>
    <row r="786" s="6" customFormat="1" ht="15.75"/>
    <row r="787" s="6" customFormat="1" ht="15.75"/>
    <row r="788" s="6" customFormat="1" ht="15.75"/>
    <row r="789" s="6" customFormat="1" ht="15.75"/>
    <row r="790" s="6" customFormat="1" ht="15.75"/>
    <row r="791" s="6" customFormat="1" ht="15.75"/>
    <row r="792" s="6" customFormat="1" ht="15.75"/>
    <row r="793" s="6" customFormat="1" ht="15.75"/>
    <row r="794" s="6" customFormat="1" ht="15.75"/>
    <row r="795" s="6" customFormat="1" ht="15.75"/>
    <row r="796" s="6" customFormat="1" ht="15.75"/>
    <row r="797" s="6" customFormat="1" ht="15.75"/>
    <row r="798" s="6" customFormat="1" ht="15.75"/>
    <row r="799" s="6" customFormat="1" ht="15.75"/>
    <row r="800" s="6" customFormat="1" ht="15.75"/>
    <row r="801" s="6" customFormat="1" ht="15.75"/>
    <row r="802" s="6" customFormat="1" ht="15.75"/>
    <row r="803" s="6" customFormat="1" ht="15.75"/>
    <row r="804" s="6" customFormat="1" ht="15.75"/>
    <row r="805" s="6" customFormat="1" ht="15.75"/>
    <row r="806" s="6" customFormat="1" ht="15.75"/>
    <row r="807" s="6" customFormat="1" ht="15.75"/>
    <row r="808" s="6" customFormat="1" ht="15.75"/>
    <row r="809" s="6" customFormat="1" ht="15.75"/>
    <row r="810" s="6" customFormat="1" ht="15.75"/>
    <row r="811" s="6" customFormat="1" ht="15.75"/>
    <row r="812" s="6" customFormat="1" ht="15.75"/>
    <row r="813" s="6" customFormat="1" ht="15.75"/>
    <row r="814" s="6" customFormat="1" ht="15.75"/>
    <row r="815" s="6" customFormat="1" ht="15.75"/>
    <row r="816" s="6" customFormat="1" ht="15.75"/>
    <row r="817" s="6" customFormat="1" ht="15.75"/>
    <row r="818" s="6" customFormat="1" ht="15.75"/>
    <row r="819" s="6" customFormat="1" ht="15.75"/>
    <row r="820" s="6" customFormat="1" ht="15.75"/>
    <row r="821" s="6" customFormat="1" ht="15.75"/>
    <row r="822" s="6" customFormat="1" ht="15.75"/>
    <row r="823" s="6" customFormat="1" ht="15.75"/>
    <row r="824" s="6" customFormat="1" ht="15.75"/>
    <row r="825" s="6" customFormat="1" ht="15.75"/>
    <row r="826" s="6" customFormat="1" ht="15.75"/>
    <row r="827" s="6" customFormat="1" ht="15.75"/>
    <row r="828" s="6" customFormat="1" ht="15.75"/>
    <row r="829" s="6" customFormat="1" ht="15.75"/>
    <row r="830" s="6" customFormat="1" ht="15.75"/>
    <row r="831" s="6" customFormat="1" ht="15.75"/>
    <row r="832" s="6" customFormat="1" ht="15.75"/>
    <row r="833" s="6" customFormat="1" ht="15.75"/>
    <row r="834" s="6" customFormat="1" ht="15.75"/>
    <row r="835" s="6" customFormat="1" ht="15.75"/>
    <row r="836" s="6" customFormat="1" ht="15.75"/>
    <row r="837" s="6" customFormat="1" ht="15.75"/>
    <row r="838" s="6" customFormat="1" ht="15.75"/>
    <row r="839" s="6" customFormat="1" ht="15.75"/>
    <row r="840" s="6" customFormat="1" ht="15.75"/>
    <row r="841" s="6" customFormat="1" ht="15.75"/>
    <row r="842" s="6" customFormat="1" ht="15.75"/>
    <row r="843" s="6" customFormat="1" ht="15.75"/>
    <row r="844" s="6" customFormat="1" ht="15.75"/>
    <row r="845" s="6" customFormat="1" ht="15.75"/>
    <row r="846" s="6" customFormat="1" ht="15.75"/>
    <row r="847" s="6" customFormat="1" ht="15.75"/>
    <row r="848" s="6" customFormat="1" ht="15.75"/>
    <row r="849" s="6" customFormat="1" ht="15.75"/>
    <row r="850" s="6" customFormat="1" ht="15.75"/>
    <row r="851" s="6" customFormat="1" ht="15.75"/>
    <row r="852" s="6" customFormat="1" ht="15.75"/>
    <row r="853" s="6" customFormat="1" ht="15.75"/>
    <row r="854" s="6" customFormat="1" ht="15.75"/>
    <row r="855" s="6" customFormat="1" ht="15.75"/>
    <row r="856" s="6" customFormat="1" ht="15.75"/>
    <row r="857" s="6" customFormat="1" ht="15.75"/>
    <row r="858" s="6" customFormat="1" ht="15.75"/>
    <row r="859" s="6" customFormat="1" ht="15.75"/>
    <row r="860" s="6" customFormat="1" ht="15.75"/>
    <row r="861" s="6" customFormat="1" ht="15.75"/>
    <row r="862" s="6" customFormat="1" ht="15.75"/>
    <row r="863" s="6" customFormat="1" ht="15.75"/>
    <row r="864" s="6" customFormat="1" ht="15.75"/>
    <row r="865" s="6" customFormat="1" ht="15.75"/>
    <row r="866" s="6" customFormat="1" ht="15.75"/>
    <row r="867" s="6" customFormat="1" ht="15.75"/>
    <row r="868" s="6" customFormat="1" ht="15.75"/>
    <row r="869" s="6" customFormat="1" ht="15.75"/>
    <row r="870" s="6" customFormat="1" ht="15.75"/>
    <row r="871" s="6" customFormat="1" ht="15.75"/>
    <row r="872" s="6" customFormat="1" ht="15.75"/>
    <row r="873" s="6" customFormat="1" ht="15.75"/>
    <row r="874" s="6" customFormat="1" ht="15.75"/>
    <row r="875" s="6" customFormat="1" ht="15.75"/>
    <row r="876" s="6" customFormat="1" ht="15.75"/>
    <row r="877" s="6" customFormat="1" ht="15.75"/>
    <row r="878" s="6" customFormat="1" ht="15.75"/>
    <row r="879" s="6" customFormat="1" ht="15.75"/>
    <row r="880" s="6" customFormat="1" ht="15.75"/>
    <row r="881" s="6" customFormat="1" ht="15.75"/>
    <row r="882" s="6" customFormat="1" ht="15.75"/>
    <row r="883" s="6" customFormat="1" ht="15.75"/>
    <row r="884" s="6" customFormat="1" ht="15.75"/>
    <row r="885" s="6" customFormat="1" ht="15.75"/>
    <row r="886" s="6" customFormat="1" ht="15.75"/>
    <row r="887" s="6" customFormat="1" ht="15.75"/>
  </sheetData>
  <phoneticPr fontId="60" type="noConversion"/>
  <conditionalFormatting sqref="F9:F61">
    <cfRule type="cellIs" dxfId="0" priority="1" operator="greaterThan">
      <formula>400000</formula>
    </cfRule>
  </conditionalFormatting>
  <pageMargins left="0.75" right="0.75" top="1" bottom="1" header="0.5" footer="0.5"/>
  <headerFooter alignWithMargins="0"/>
  <ignoredErrors>
    <ignoredError sqref="B6:O6" numberStoredAsText="1"/>
  </ignoredErrors>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F56"/>
  <sheetViews>
    <sheetView view="pageBreakPreview" topLeftCell="N1" zoomScaleNormal="100" zoomScaleSheetLayoutView="100" workbookViewId="0">
      <selection activeCell="Z37" sqref="Z37"/>
    </sheetView>
  </sheetViews>
  <sheetFormatPr defaultRowHeight="15"/>
  <cols>
    <col min="15" max="15" width="9" bestFit="1" customWidth="1"/>
    <col min="16" max="16" width="11.109375" bestFit="1" customWidth="1"/>
    <col min="17" max="17" width="7.6640625" customWidth="1"/>
    <col min="18" max="18" width="11.5546875" customWidth="1"/>
    <col min="19" max="19" width="9" bestFit="1" customWidth="1"/>
    <col min="20" max="20" width="9.88671875" bestFit="1" customWidth="1"/>
    <col min="21" max="21" width="11.33203125" customWidth="1"/>
    <col min="30" max="30" width="2.109375" customWidth="1"/>
  </cols>
  <sheetData>
    <row r="1" spans="1:23">
      <c r="A1" s="440" t="str">
        <f ca="1">CELL("filename",A1)</f>
        <v>O:\DCF\SALMON\FORECAST\2015\[2015_Copper River Wild Sockeye forecast_FINAL.xlsm]Age1.2</v>
      </c>
      <c r="O1" s="655"/>
      <c r="P1" s="655"/>
      <c r="Q1" s="655"/>
      <c r="R1" s="655"/>
      <c r="S1" s="655"/>
    </row>
    <row r="2" spans="1:23">
      <c r="O2" s="655"/>
      <c r="P2" s="655"/>
      <c r="Q2" s="655"/>
      <c r="R2" s="418">
        <v>2015</v>
      </c>
      <c r="S2" s="418" t="s">
        <v>518</v>
      </c>
      <c r="T2" s="655"/>
      <c r="U2" s="227"/>
    </row>
    <row r="3" spans="1:23">
      <c r="O3" s="701" t="s">
        <v>517</v>
      </c>
      <c r="P3" s="419" t="s">
        <v>228</v>
      </c>
      <c r="Q3" s="419" t="s">
        <v>367</v>
      </c>
      <c r="R3" s="701" t="s">
        <v>111</v>
      </c>
      <c r="S3" s="419" t="s">
        <v>146</v>
      </c>
      <c r="T3" s="876" t="s">
        <v>107</v>
      </c>
      <c r="U3" s="324" t="s">
        <v>519</v>
      </c>
      <c r="W3" s="877" t="str">
        <f ca="1">CELL("filename",W3)</f>
        <v>O:\DCF\SALMON\FORECAST\2015\[2015_Copper River Wild Sockeye forecast_FINAL.xlsm]Age1.2</v>
      </c>
    </row>
    <row r="4" spans="1:23">
      <c r="O4" s="13">
        <v>1965</v>
      </c>
      <c r="P4" s="952">
        <f>'Brd Link'!F11</f>
        <v>179040.49850974398</v>
      </c>
      <c r="Q4" s="952">
        <f t="shared" ref="Q4:Q43" si="0">RANK(P4,$P$4:$P$53)</f>
        <v>31</v>
      </c>
      <c r="R4" s="440" t="e">
        <f>NA()</f>
        <v>#N/A</v>
      </c>
      <c r="S4" s="414">
        <v>391201</v>
      </c>
      <c r="T4" s="953">
        <f>P4-S4</f>
        <v>-212160.50149025602</v>
      </c>
      <c r="U4" s="954">
        <f>T4/S4</f>
        <v>-0.54233118394445823</v>
      </c>
    </row>
    <row r="5" spans="1:23">
      <c r="A5" s="874" t="s">
        <v>520</v>
      </c>
      <c r="B5" s="406">
        <v>1.1000000000000001</v>
      </c>
      <c r="C5" s="406">
        <v>1.3</v>
      </c>
      <c r="D5" s="875" t="s">
        <v>513</v>
      </c>
      <c r="E5" s="875" t="s">
        <v>514</v>
      </c>
      <c r="O5" s="13">
        <v>1966</v>
      </c>
      <c r="P5" s="952">
        <f>'Brd Link'!F12</f>
        <v>102401.66367310109</v>
      </c>
      <c r="Q5" s="952">
        <f t="shared" si="0"/>
        <v>41</v>
      </c>
      <c r="R5" s="440" t="e">
        <f>NA()</f>
        <v>#N/A</v>
      </c>
      <c r="S5" s="414">
        <v>391201</v>
      </c>
      <c r="T5" s="953">
        <f t="shared" ref="T5:T53" si="1">P5-S5</f>
        <v>-288799.33632689889</v>
      </c>
      <c r="U5" s="954">
        <f t="shared" ref="U5:U48" si="2">T5/S5</f>
        <v>-0.7382377251768244</v>
      </c>
    </row>
    <row r="6" spans="1:23">
      <c r="A6" s="256">
        <v>1985</v>
      </c>
      <c r="B6" s="711">
        <f>'Brd Link'!D35</f>
        <v>36816.902552422027</v>
      </c>
      <c r="C6" s="711">
        <f>'Brd Link'!I35</f>
        <v>641426.45512191299</v>
      </c>
      <c r="D6" s="440">
        <f>LN(B6)</f>
        <v>10.513712327196895</v>
      </c>
      <c r="E6" s="440">
        <f>LN(C6)</f>
        <v>13.37144981129318</v>
      </c>
      <c r="O6" s="13">
        <v>1967</v>
      </c>
      <c r="P6" s="952">
        <f>'Brd Link'!F13</f>
        <v>97592.469650151805</v>
      </c>
      <c r="Q6" s="952">
        <f t="shared" si="0"/>
        <v>44</v>
      </c>
      <c r="R6" s="440" t="e">
        <f>NA()</f>
        <v>#N/A</v>
      </c>
      <c r="S6" s="414">
        <v>391201</v>
      </c>
      <c r="T6" s="953">
        <f t="shared" si="1"/>
        <v>-293608.53034984821</v>
      </c>
      <c r="U6" s="954">
        <f t="shared" si="2"/>
        <v>-0.75053113450591435</v>
      </c>
    </row>
    <row r="7" spans="1:23">
      <c r="A7" s="256">
        <v>1986</v>
      </c>
      <c r="B7" s="711">
        <f>'Brd Link'!D36</f>
        <v>8416.2126489745042</v>
      </c>
      <c r="C7" s="711">
        <f>'Brd Link'!I36</f>
        <v>1292395.1381037389</v>
      </c>
      <c r="D7" s="440">
        <f t="shared" ref="D7:D25" si="3">LN(B7)</f>
        <v>9.0379152018843385</v>
      </c>
      <c r="E7" s="440">
        <f t="shared" ref="E7:E25" si="4">LN(C7)</f>
        <v>14.072007751012482</v>
      </c>
      <c r="O7" s="13">
        <v>1968</v>
      </c>
      <c r="P7" s="952">
        <f>'Brd Link'!F14</f>
        <v>290718.45227450889</v>
      </c>
      <c r="Q7" s="952">
        <f t="shared" si="0"/>
        <v>18</v>
      </c>
      <c r="R7" s="440" t="e">
        <f>NA()</f>
        <v>#N/A</v>
      </c>
      <c r="S7" s="414">
        <v>391201</v>
      </c>
      <c r="T7" s="953">
        <f t="shared" si="1"/>
        <v>-100482.54772549111</v>
      </c>
      <c r="U7" s="954">
        <f t="shared" si="2"/>
        <v>-0.25685657175081633</v>
      </c>
    </row>
    <row r="8" spans="1:23">
      <c r="A8" s="256">
        <v>1987</v>
      </c>
      <c r="B8" s="711">
        <f>'Brd Link'!D37</f>
        <v>78805.382876538672</v>
      </c>
      <c r="C8" s="711">
        <f>'Brd Link'!I37</f>
        <v>1075295.1477904324</v>
      </c>
      <c r="D8" s="440">
        <f t="shared" si="3"/>
        <v>11.274736584128879</v>
      </c>
      <c r="E8" s="440">
        <f t="shared" si="4"/>
        <v>13.888105737944398</v>
      </c>
      <c r="O8" s="13">
        <v>1969</v>
      </c>
      <c r="P8" s="952">
        <f>'Brd Link'!F15</f>
        <v>386377.08528941998</v>
      </c>
      <c r="Q8" s="952">
        <f t="shared" si="0"/>
        <v>10</v>
      </c>
      <c r="R8" s="440" t="e">
        <f>NA()</f>
        <v>#N/A</v>
      </c>
      <c r="S8" s="414">
        <v>391201</v>
      </c>
      <c r="T8" s="953">
        <f t="shared" si="1"/>
        <v>-4823.9147105800221</v>
      </c>
      <c r="U8" s="954">
        <f t="shared" si="2"/>
        <v>-1.2331038802508231E-2</v>
      </c>
    </row>
    <row r="9" spans="1:23">
      <c r="A9" s="256">
        <v>1988</v>
      </c>
      <c r="B9" s="711">
        <f>'Brd Link'!D38</f>
        <v>18489.281874539654</v>
      </c>
      <c r="C9" s="711">
        <f>'Brd Link'!I38</f>
        <v>1329979.1552080857</v>
      </c>
      <c r="D9" s="440">
        <f t="shared" si="3"/>
        <v>9.8249464850406518</v>
      </c>
      <c r="E9" s="440">
        <f t="shared" si="4"/>
        <v>14.100673827299241</v>
      </c>
      <c r="O9" s="13">
        <v>1970</v>
      </c>
      <c r="P9" s="952">
        <f>'Brd Link'!F16</f>
        <v>302159.62071066484</v>
      </c>
      <c r="Q9" s="952">
        <f t="shared" si="0"/>
        <v>15</v>
      </c>
      <c r="R9" s="440" t="e">
        <f>NA()</f>
        <v>#N/A</v>
      </c>
      <c r="S9" s="414">
        <v>391201</v>
      </c>
      <c r="T9" s="953">
        <f t="shared" si="1"/>
        <v>-89041.379289335164</v>
      </c>
      <c r="U9" s="954">
        <f t="shared" si="2"/>
        <v>-0.22761030592798884</v>
      </c>
    </row>
    <row r="10" spans="1:23">
      <c r="A10" s="256">
        <v>1989</v>
      </c>
      <c r="B10" s="711">
        <f>'Brd Link'!D39</f>
        <v>25771.508177901509</v>
      </c>
      <c r="C10" s="711">
        <f>'Brd Link'!I39</f>
        <v>1332570.2372110838</v>
      </c>
      <c r="D10" s="440">
        <f t="shared" si="3"/>
        <v>10.15702482649354</v>
      </c>
      <c r="E10" s="440">
        <f t="shared" si="4"/>
        <v>14.102620144485565</v>
      </c>
      <c r="O10" s="13">
        <v>1971</v>
      </c>
      <c r="P10" s="952">
        <f>'Brd Link'!F17</f>
        <v>97321.711125474932</v>
      </c>
      <c r="Q10" s="952">
        <f t="shared" si="0"/>
        <v>45</v>
      </c>
      <c r="R10" s="440" t="e">
        <f>NA()</f>
        <v>#N/A</v>
      </c>
      <c r="S10" s="414">
        <v>391201</v>
      </c>
      <c r="T10" s="953">
        <f t="shared" si="1"/>
        <v>-293879.28887452505</v>
      </c>
      <c r="U10" s="954">
        <f t="shared" si="2"/>
        <v>-0.75122325575477833</v>
      </c>
    </row>
    <row r="11" spans="1:23">
      <c r="A11" s="256">
        <v>1990</v>
      </c>
      <c r="B11" s="711">
        <f>'Brd Link'!D40</f>
        <v>56401.76109070603</v>
      </c>
      <c r="C11" s="711">
        <f>'Brd Link'!I40</f>
        <v>1060308.8407004261</v>
      </c>
      <c r="D11" s="440">
        <f t="shared" si="3"/>
        <v>10.940255662011179</v>
      </c>
      <c r="E11" s="440">
        <f t="shared" si="4"/>
        <v>13.874070782802761</v>
      </c>
      <c r="O11" s="13">
        <v>1972</v>
      </c>
      <c r="P11" s="952">
        <f>'Brd Link'!F18</f>
        <v>145881.52486171451</v>
      </c>
      <c r="Q11" s="952">
        <f t="shared" si="0"/>
        <v>35</v>
      </c>
      <c r="R11" s="440" t="e">
        <f>NA()</f>
        <v>#N/A</v>
      </c>
      <c r="S11" s="414">
        <v>391201</v>
      </c>
      <c r="T11" s="953">
        <f t="shared" si="1"/>
        <v>-245319.47513828549</v>
      </c>
      <c r="U11" s="954">
        <f t="shared" si="2"/>
        <v>-0.62709316984947761</v>
      </c>
    </row>
    <row r="12" spans="1:23">
      <c r="A12" s="256">
        <v>1991</v>
      </c>
      <c r="B12" s="711">
        <f>'Brd Link'!D41</f>
        <v>58109.358039408347</v>
      </c>
      <c r="C12" s="711">
        <f>'Brd Link'!I41</f>
        <v>1989184.4640360922</v>
      </c>
      <c r="D12" s="440">
        <f t="shared" si="3"/>
        <v>10.970081997673907</v>
      </c>
      <c r="E12" s="440">
        <f t="shared" si="4"/>
        <v>14.50323529563542</v>
      </c>
      <c r="O12" s="13">
        <v>1973</v>
      </c>
      <c r="P12" s="952">
        <f>'Brd Link'!F19</f>
        <v>101514.29846521815</v>
      </c>
      <c r="Q12" s="952">
        <f t="shared" si="0"/>
        <v>42</v>
      </c>
      <c r="R12" s="440" t="e">
        <f>NA()</f>
        <v>#N/A</v>
      </c>
      <c r="S12" s="414">
        <v>391201</v>
      </c>
      <c r="T12" s="953">
        <f t="shared" si="1"/>
        <v>-289686.70153478184</v>
      </c>
      <c r="U12" s="954">
        <f t="shared" si="2"/>
        <v>-0.7405060353495565</v>
      </c>
    </row>
    <row r="13" spans="1:23">
      <c r="A13" s="256">
        <v>1992</v>
      </c>
      <c r="B13" s="711">
        <f>'Brd Link'!D42</f>
        <v>32579.47741440657</v>
      </c>
      <c r="C13" s="711">
        <f>'Brd Link'!I42</f>
        <v>2415249.6642813412</v>
      </c>
      <c r="D13" s="440">
        <f t="shared" si="3"/>
        <v>10.39143784195393</v>
      </c>
      <c r="E13" s="440">
        <f t="shared" si="4"/>
        <v>14.697313220380199</v>
      </c>
      <c r="O13" s="13">
        <v>1974</v>
      </c>
      <c r="P13" s="952">
        <f>'Brd Link'!F20</f>
        <v>83934.462420078504</v>
      </c>
      <c r="Q13" s="952">
        <f t="shared" si="0"/>
        <v>46</v>
      </c>
      <c r="R13" s="440" t="e">
        <f>NA()</f>
        <v>#N/A</v>
      </c>
      <c r="S13" s="414">
        <v>391201</v>
      </c>
      <c r="T13" s="953">
        <f t="shared" si="1"/>
        <v>-307266.53757992148</v>
      </c>
      <c r="U13" s="954">
        <f t="shared" si="2"/>
        <v>-0.78544415167630321</v>
      </c>
    </row>
    <row r="14" spans="1:23">
      <c r="A14" s="256">
        <v>1993</v>
      </c>
      <c r="B14" s="711">
        <f>'Brd Link'!D43</f>
        <v>16460.431926757403</v>
      </c>
      <c r="C14" s="711">
        <f>'Brd Link'!I43</f>
        <v>1112912.7648551823</v>
      </c>
      <c r="D14" s="440">
        <f t="shared" si="3"/>
        <v>9.7087147148805393</v>
      </c>
      <c r="E14" s="440">
        <f t="shared" si="4"/>
        <v>13.922491248798858</v>
      </c>
      <c r="O14" s="13">
        <v>1975</v>
      </c>
      <c r="P14" s="952">
        <f>'Brd Link'!F21</f>
        <v>48348.917227885802</v>
      </c>
      <c r="Q14" s="952">
        <f t="shared" si="0"/>
        <v>49</v>
      </c>
      <c r="R14" s="440" t="e">
        <f>NA()</f>
        <v>#N/A</v>
      </c>
      <c r="S14" s="414">
        <v>391201</v>
      </c>
      <c r="T14" s="953">
        <f t="shared" si="1"/>
        <v>-342852.0827721142</v>
      </c>
      <c r="U14" s="954">
        <f t="shared" si="2"/>
        <v>-0.87640901422060324</v>
      </c>
    </row>
    <row r="15" spans="1:23">
      <c r="A15" s="256">
        <v>1994</v>
      </c>
      <c r="B15" s="711">
        <f>'Brd Link'!D44</f>
        <v>147971.67340866121</v>
      </c>
      <c r="C15" s="711">
        <f>'Brd Link'!I44</f>
        <v>1216630.2738301605</v>
      </c>
      <c r="D15" s="440">
        <f t="shared" si="3"/>
        <v>11.904776138540297</v>
      </c>
      <c r="E15" s="440">
        <f t="shared" si="4"/>
        <v>14.011595524522779</v>
      </c>
      <c r="O15" s="13">
        <v>1976</v>
      </c>
      <c r="P15" s="952">
        <f>'Brd Link'!F22</f>
        <v>140037.97254138521</v>
      </c>
      <c r="Q15" s="952">
        <f t="shared" si="0"/>
        <v>37</v>
      </c>
      <c r="R15" s="440" t="e">
        <f>NA()</f>
        <v>#N/A</v>
      </c>
      <c r="S15" s="414">
        <v>391201</v>
      </c>
      <c r="T15" s="953">
        <f t="shared" si="1"/>
        <v>-251163.02745861479</v>
      </c>
      <c r="U15" s="954">
        <f t="shared" si="2"/>
        <v>-0.64203063759707868</v>
      </c>
    </row>
    <row r="16" spans="1:23">
      <c r="A16" s="872">
        <v>1995</v>
      </c>
      <c r="B16" s="711">
        <f>'Brd Link'!D45</f>
        <v>29946.499677603377</v>
      </c>
      <c r="C16" s="711">
        <f>'Brd Link'!I45</f>
        <v>929769.82433363562</v>
      </c>
      <c r="D16" s="440">
        <f t="shared" si="3"/>
        <v>10.307167724513286</v>
      </c>
      <c r="E16" s="440">
        <f t="shared" si="4"/>
        <v>13.74269233377956</v>
      </c>
      <c r="O16" s="13">
        <v>1977</v>
      </c>
      <c r="P16" s="952">
        <f>'Brd Link'!F23</f>
        <v>30330.912651635219</v>
      </c>
      <c r="Q16" s="952">
        <f t="shared" si="0"/>
        <v>50</v>
      </c>
      <c r="R16" s="440" t="e">
        <f>NA()</f>
        <v>#N/A</v>
      </c>
      <c r="S16" s="414">
        <v>391201</v>
      </c>
      <c r="T16" s="953">
        <f t="shared" si="1"/>
        <v>-360870.08734836476</v>
      </c>
      <c r="U16" s="954">
        <f t="shared" si="2"/>
        <v>-0.92246719039155001</v>
      </c>
    </row>
    <row r="17" spans="1:32">
      <c r="A17" s="872">
        <v>1996</v>
      </c>
      <c r="B17" s="711">
        <f>'Brd Link'!D46</f>
        <v>12697.780914796174</v>
      </c>
      <c r="C17" s="711">
        <f>'Brd Link'!I46</f>
        <v>1671044.5816115239</v>
      </c>
      <c r="D17" s="440">
        <f t="shared" si="3"/>
        <v>9.4491825260610103</v>
      </c>
      <c r="E17" s="440">
        <f t="shared" si="4"/>
        <v>14.32895948682159</v>
      </c>
      <c r="O17" s="13">
        <v>1978</v>
      </c>
      <c r="P17" s="952">
        <f>'Brd Link'!F24</f>
        <v>154457.91935439411</v>
      </c>
      <c r="Q17" s="952">
        <f t="shared" si="0"/>
        <v>34</v>
      </c>
      <c r="R17" s="440" t="e">
        <f>NA()</f>
        <v>#N/A</v>
      </c>
      <c r="S17" s="414">
        <v>391201</v>
      </c>
      <c r="T17" s="953">
        <f t="shared" si="1"/>
        <v>-236743.08064560589</v>
      </c>
      <c r="U17" s="954">
        <f t="shared" si="2"/>
        <v>-0.60516992708506856</v>
      </c>
    </row>
    <row r="18" spans="1:32">
      <c r="A18" s="872">
        <v>1997</v>
      </c>
      <c r="B18" s="711">
        <f>'Brd Link'!D47</f>
        <v>8279.8174606620651</v>
      </c>
      <c r="C18" s="711">
        <f>'Brd Link'!I47</f>
        <v>1250886.8726059287</v>
      </c>
      <c r="D18" s="440">
        <f t="shared" si="3"/>
        <v>9.0215762013225334</v>
      </c>
      <c r="E18" s="440">
        <f t="shared" si="4"/>
        <v>14.039363355788447</v>
      </c>
      <c r="O18" s="13">
        <v>1979</v>
      </c>
      <c r="P18" s="952">
        <f>'Brd Link'!F25</f>
        <v>68722.812745743839</v>
      </c>
      <c r="Q18" s="952">
        <f t="shared" si="0"/>
        <v>48</v>
      </c>
      <c r="R18" s="440" t="e">
        <f>NA()</f>
        <v>#N/A</v>
      </c>
      <c r="S18" s="414">
        <v>391201</v>
      </c>
      <c r="T18" s="953">
        <f t="shared" si="1"/>
        <v>-322478.18725425616</v>
      </c>
      <c r="U18" s="954">
        <f t="shared" si="2"/>
        <v>-0.8243286373354265</v>
      </c>
    </row>
    <row r="19" spans="1:32">
      <c r="A19" s="872">
        <v>1998</v>
      </c>
      <c r="B19" s="711">
        <f>'Brd Link'!D48</f>
        <v>14648.877824859073</v>
      </c>
      <c r="C19" s="711">
        <f>'Brd Link'!I48</f>
        <v>1379966.5856725546</v>
      </c>
      <c r="D19" s="440">
        <f t="shared" si="3"/>
        <v>9.5921190125256324</v>
      </c>
      <c r="E19" s="440">
        <f t="shared" si="4"/>
        <v>14.137569843559483</v>
      </c>
      <c r="O19" s="13">
        <v>1980</v>
      </c>
      <c r="P19" s="952">
        <f>'Brd Link'!F26</f>
        <v>173715.68474284798</v>
      </c>
      <c r="Q19" s="952">
        <f t="shared" si="0"/>
        <v>32</v>
      </c>
      <c r="R19" s="440" t="e">
        <f>NA()</f>
        <v>#N/A</v>
      </c>
      <c r="S19" s="414">
        <v>391201</v>
      </c>
      <c r="T19" s="953">
        <f t="shared" si="1"/>
        <v>-217485.31525715202</v>
      </c>
      <c r="U19" s="954">
        <f t="shared" si="2"/>
        <v>-0.55594263628454943</v>
      </c>
    </row>
    <row r="20" spans="1:32">
      <c r="A20" s="872">
        <v>1999</v>
      </c>
      <c r="B20" s="711">
        <f>'Brd Link'!D49</f>
        <v>7580.2162664815642</v>
      </c>
      <c r="C20" s="711">
        <f>'Brd Link'!I49</f>
        <v>996194.75347909459</v>
      </c>
      <c r="D20" s="440">
        <f t="shared" si="3"/>
        <v>8.9332970094275055</v>
      </c>
      <c r="E20" s="440">
        <f t="shared" si="4"/>
        <v>13.811698053073718</v>
      </c>
      <c r="O20" s="13">
        <v>1981</v>
      </c>
      <c r="P20" s="952">
        <f>'Brd Link'!F27</f>
        <v>135148.94242353513</v>
      </c>
      <c r="Q20" s="952">
        <f t="shared" si="0"/>
        <v>38</v>
      </c>
      <c r="R20" s="440" t="e">
        <f>NA()</f>
        <v>#N/A</v>
      </c>
      <c r="S20" s="414">
        <v>391201</v>
      </c>
      <c r="T20" s="953">
        <f t="shared" si="1"/>
        <v>-256052.05757646487</v>
      </c>
      <c r="U20" s="954">
        <f t="shared" si="2"/>
        <v>-0.65452812640168323</v>
      </c>
    </row>
    <row r="21" spans="1:32">
      <c r="A21" s="872">
        <v>2000</v>
      </c>
      <c r="B21" s="711">
        <f>'Brd Link'!D50</f>
        <v>15743.896445334503</v>
      </c>
      <c r="C21" s="711">
        <f>'Brd Link'!I50</f>
        <v>1434375.124038063</v>
      </c>
      <c r="D21" s="440">
        <f t="shared" si="3"/>
        <v>9.6642080418653293</v>
      </c>
      <c r="E21" s="440">
        <f t="shared" si="4"/>
        <v>14.176239858706381</v>
      </c>
      <c r="O21" s="13">
        <v>1982</v>
      </c>
      <c r="P21" s="952">
        <f>'Brd Link'!F28</f>
        <v>359995.48750384717</v>
      </c>
      <c r="Q21" s="952">
        <f t="shared" si="0"/>
        <v>11</v>
      </c>
      <c r="R21" s="440" t="e">
        <f>NA()</f>
        <v>#N/A</v>
      </c>
      <c r="S21" s="414">
        <v>391201</v>
      </c>
      <c r="T21" s="953">
        <f t="shared" si="1"/>
        <v>-31205.512496152835</v>
      </c>
      <c r="U21" s="954">
        <f t="shared" si="2"/>
        <v>-7.976848856764894E-2</v>
      </c>
    </row>
    <row r="22" spans="1:32">
      <c r="A22" s="872">
        <v>2001</v>
      </c>
      <c r="B22" s="711">
        <f>'Brd Link'!D51</f>
        <v>6843.0382800759517</v>
      </c>
      <c r="C22" s="711">
        <f>'Brd Link'!I51</f>
        <v>1472393.5551385009</v>
      </c>
      <c r="D22" s="440">
        <f t="shared" si="3"/>
        <v>8.8309871049856525</v>
      </c>
      <c r="E22" s="440">
        <f t="shared" si="4"/>
        <v>14.202399903364208</v>
      </c>
      <c r="O22" s="13">
        <v>1983</v>
      </c>
      <c r="P22" s="952">
        <f>'Brd Link'!F29</f>
        <v>346502.19282529014</v>
      </c>
      <c r="Q22" s="952">
        <f t="shared" si="0"/>
        <v>14</v>
      </c>
      <c r="R22" s="440" t="e">
        <f>NA()</f>
        <v>#N/A</v>
      </c>
      <c r="S22" s="414">
        <v>391201</v>
      </c>
      <c r="T22" s="953">
        <f t="shared" si="1"/>
        <v>-44698.807174709858</v>
      </c>
      <c r="U22" s="954">
        <f t="shared" si="2"/>
        <v>-0.11426046245973262</v>
      </c>
    </row>
    <row r="23" spans="1:32">
      <c r="A23" s="872">
        <v>2002</v>
      </c>
      <c r="B23" s="711">
        <f>'Brd Link'!D52</f>
        <v>6090.5428281522218</v>
      </c>
      <c r="C23" s="711">
        <f>'Brd Link'!I52</f>
        <v>2281728.634522045</v>
      </c>
      <c r="D23" s="440">
        <f t="shared" si="3"/>
        <v>8.7144924910752639</v>
      </c>
      <c r="E23" s="440">
        <f t="shared" si="4"/>
        <v>14.640443886698622</v>
      </c>
      <c r="O23" s="13">
        <v>1984</v>
      </c>
      <c r="P23" s="952">
        <f>'Brd Link'!F30</f>
        <v>203458.33386630402</v>
      </c>
      <c r="Q23" s="952">
        <f t="shared" si="0"/>
        <v>30</v>
      </c>
      <c r="R23" s="440" t="e">
        <f>NA()</f>
        <v>#N/A</v>
      </c>
      <c r="S23" s="414">
        <v>391201</v>
      </c>
      <c r="T23" s="953">
        <f t="shared" si="1"/>
        <v>-187742.66613369598</v>
      </c>
      <c r="U23" s="954">
        <f t="shared" si="2"/>
        <v>-0.47991356395739271</v>
      </c>
    </row>
    <row r="24" spans="1:32">
      <c r="A24" s="872">
        <v>2003</v>
      </c>
      <c r="B24" s="711">
        <f>'Brd Link'!D53</f>
        <v>5212.4666426457889</v>
      </c>
      <c r="C24" s="711">
        <f>'Brd Link'!I53</f>
        <v>796157.21431067027</v>
      </c>
      <c r="D24" s="440">
        <f t="shared" si="3"/>
        <v>8.5588084665941651</v>
      </c>
      <c r="E24" s="440">
        <f t="shared" si="4"/>
        <v>13.587551950740307</v>
      </c>
      <c r="O24" s="13">
        <v>1985</v>
      </c>
      <c r="P24" s="952">
        <f>'Brd Link'!F31</f>
        <v>157083.49997006214</v>
      </c>
      <c r="Q24" s="952">
        <f t="shared" si="0"/>
        <v>33</v>
      </c>
      <c r="R24" s="440" t="e">
        <f>NA()</f>
        <v>#N/A</v>
      </c>
      <c r="S24" s="414">
        <v>391201</v>
      </c>
      <c r="T24" s="953">
        <f t="shared" si="1"/>
        <v>-234117.50002993786</v>
      </c>
      <c r="U24" s="954">
        <f t="shared" si="2"/>
        <v>-0.59845833735071707</v>
      </c>
    </row>
    <row r="25" spans="1:32">
      <c r="A25" s="873">
        <v>2004</v>
      </c>
      <c r="B25" s="711">
        <f>'Brd Link'!D54</f>
        <v>24293.51932402937</v>
      </c>
      <c r="C25" s="711">
        <f>'Brd Link'!I54</f>
        <v>940457.62252988853</v>
      </c>
      <c r="D25" s="440">
        <f t="shared" si="3"/>
        <v>10.097964899274954</v>
      </c>
      <c r="E25" s="440">
        <f t="shared" si="4"/>
        <v>13.754121868260308</v>
      </c>
      <c r="O25" s="13">
        <v>1986</v>
      </c>
      <c r="P25" s="952">
        <f>'Brd Link'!F32</f>
        <v>292198.40738779912</v>
      </c>
      <c r="Q25" s="952">
        <f t="shared" si="0"/>
        <v>17</v>
      </c>
      <c r="R25" s="440" t="e">
        <f>NA()</f>
        <v>#N/A</v>
      </c>
      <c r="S25" s="414">
        <v>391201</v>
      </c>
      <c r="T25" s="953">
        <f t="shared" si="1"/>
        <v>-99002.592612200882</v>
      </c>
      <c r="U25" s="954">
        <f t="shared" si="2"/>
        <v>-0.25307346507856798</v>
      </c>
    </row>
    <row r="26" spans="1:32">
      <c r="A26" s="872">
        <v>2005</v>
      </c>
      <c r="B26" s="711">
        <f>'Brd Link'!D55</f>
        <v>2664.0438512035921</v>
      </c>
      <c r="C26" s="711">
        <f>'Brd Link'!I55</f>
        <v>730494.56928830943</v>
      </c>
      <c r="D26" s="440">
        <f t="shared" ref="D26" si="5">LN(B26)</f>
        <v>7.8876004921868139</v>
      </c>
      <c r="E26" s="440">
        <f t="shared" ref="E26" si="6">LN(C26)</f>
        <v>13.501477075906118</v>
      </c>
      <c r="O26" s="13">
        <v>1987</v>
      </c>
      <c r="P26" s="952">
        <f>'Brd Link'!F33</f>
        <v>113889.25746653602</v>
      </c>
      <c r="Q26" s="952">
        <f t="shared" si="0"/>
        <v>39</v>
      </c>
      <c r="R26" s="440" t="e">
        <f>NA()</f>
        <v>#N/A</v>
      </c>
      <c r="S26" s="414">
        <v>391201</v>
      </c>
      <c r="T26" s="953">
        <f t="shared" si="1"/>
        <v>-277311.74253346398</v>
      </c>
      <c r="U26" s="954">
        <f t="shared" si="2"/>
        <v>-0.70887278543118237</v>
      </c>
    </row>
    <row r="27" spans="1:32">
      <c r="A27" s="872">
        <v>2006</v>
      </c>
      <c r="B27" s="711">
        <f>'Brd Link'!D56</f>
        <v>1650.0452612052413</v>
      </c>
      <c r="C27" s="711">
        <f>'Brd Link'!I56</f>
        <v>1832418.5211423838</v>
      </c>
      <c r="D27" s="440">
        <f t="shared" ref="D27:D28" si="7">LN(B27)</f>
        <v>7.408557997551882</v>
      </c>
      <c r="E27" s="440">
        <f t="shared" ref="E27:E28" si="8">LN(C27)</f>
        <v>14.421147248530623</v>
      </c>
      <c r="O27" s="13">
        <v>1988</v>
      </c>
      <c r="P27" s="952">
        <f>'Brd Link'!F34</f>
        <v>294557.28228182066</v>
      </c>
      <c r="Q27" s="952">
        <f t="shared" si="0"/>
        <v>16</v>
      </c>
      <c r="R27" s="440" t="e">
        <f>NA()</f>
        <v>#N/A</v>
      </c>
      <c r="S27" s="414">
        <v>391201</v>
      </c>
      <c r="T27" s="953">
        <f t="shared" si="1"/>
        <v>-96643.717718179338</v>
      </c>
      <c r="U27" s="954">
        <f t="shared" si="2"/>
        <v>-0.24704363669361618</v>
      </c>
    </row>
    <row r="28" spans="1:32">
      <c r="A28" s="873">
        <v>2007</v>
      </c>
      <c r="B28" s="711">
        <f>'Brd Link'!D57</f>
        <v>7122.8852841586249</v>
      </c>
      <c r="C28" s="711">
        <f>'Brd Link'!I57</f>
        <v>2079282.070390793</v>
      </c>
      <c r="D28" s="440">
        <f t="shared" si="7"/>
        <v>8.8710681588590035</v>
      </c>
      <c r="E28" s="440">
        <f t="shared" si="8"/>
        <v>14.547533233630642</v>
      </c>
      <c r="O28" s="13">
        <v>1989</v>
      </c>
      <c r="P28" s="952">
        <f>'Brd Link'!F35</f>
        <v>240741.58041960336</v>
      </c>
      <c r="Q28" s="952">
        <f t="shared" si="0"/>
        <v>25</v>
      </c>
      <c r="R28" s="440" t="e">
        <f>NA()</f>
        <v>#N/A</v>
      </c>
      <c r="S28" s="414">
        <v>391201</v>
      </c>
      <c r="T28" s="953">
        <f t="shared" si="1"/>
        <v>-150459.41958039664</v>
      </c>
      <c r="U28" s="954">
        <f t="shared" si="2"/>
        <v>-0.38460898510074526</v>
      </c>
    </row>
    <row r="29" spans="1:32">
      <c r="A29" s="872">
        <v>2008</v>
      </c>
      <c r="B29" s="711">
        <f>'Brd Link'!D58</f>
        <v>1305.1566504371583</v>
      </c>
      <c r="C29" s="711">
        <f>'Brd Link'!I58</f>
        <v>1478040.9578396173</v>
      </c>
      <c r="D29" s="440">
        <f t="shared" ref="D29:D30" si="9">LN(B29)</f>
        <v>7.1740783512018949</v>
      </c>
      <c r="E29" s="440">
        <f t="shared" ref="E29:E30" si="10">LN(C29)</f>
        <v>14.206228091770475</v>
      </c>
      <c r="O29" s="13">
        <v>1990</v>
      </c>
      <c r="P29" s="952">
        <f>'Brd Link'!F36</f>
        <v>283682.55642391811</v>
      </c>
      <c r="Q29" s="952">
        <f t="shared" si="0"/>
        <v>19</v>
      </c>
      <c r="R29" s="440" t="e">
        <f>NA()</f>
        <v>#N/A</v>
      </c>
      <c r="S29" s="414">
        <v>391201</v>
      </c>
      <c r="T29" s="953">
        <f t="shared" si="1"/>
        <v>-107518.44357608189</v>
      </c>
      <c r="U29" s="954">
        <f t="shared" si="2"/>
        <v>-0.2748419446169153</v>
      </c>
    </row>
    <row r="30" spans="1:32" ht="24.95" customHeight="1">
      <c r="A30" s="873">
        <v>2009</v>
      </c>
      <c r="B30" s="711">
        <f>'Brd Link'!D59</f>
        <v>2886.4787766376294</v>
      </c>
      <c r="C30" s="711">
        <f>'Brd Link'!I59</f>
        <v>1875957.0948617512</v>
      </c>
      <c r="D30" s="440">
        <f t="shared" si="9"/>
        <v>7.9677926218453861</v>
      </c>
      <c r="E30" s="440">
        <f t="shared" si="10"/>
        <v>14.444629537743996</v>
      </c>
      <c r="O30" s="13">
        <v>1991</v>
      </c>
      <c r="P30" s="952">
        <f>'Brd Link'!F37</f>
        <v>229875.14425105081</v>
      </c>
      <c r="Q30" s="952">
        <f t="shared" si="0"/>
        <v>27</v>
      </c>
      <c r="R30" s="440" t="e">
        <f>NA()</f>
        <v>#N/A</v>
      </c>
      <c r="S30" s="414">
        <v>391201</v>
      </c>
      <c r="T30" s="953">
        <f t="shared" si="1"/>
        <v>-161325.85574894919</v>
      </c>
      <c r="U30" s="954">
        <f t="shared" si="2"/>
        <v>-0.41238610266576309</v>
      </c>
      <c r="W30" s="1166" t="s">
        <v>627</v>
      </c>
      <c r="X30" s="1166"/>
      <c r="Y30" s="1166"/>
      <c r="Z30" s="1166"/>
      <c r="AA30" s="1166"/>
      <c r="AB30" s="1166"/>
      <c r="AC30" s="1166"/>
      <c r="AD30" s="1166"/>
      <c r="AE30" s="1166"/>
      <c r="AF30" s="1166"/>
    </row>
    <row r="31" spans="1:32" ht="15.75" customHeight="1">
      <c r="A31" s="872">
        <v>2010</v>
      </c>
      <c r="B31" s="711"/>
      <c r="C31" s="711"/>
      <c r="O31" s="13">
        <v>1992</v>
      </c>
      <c r="P31" s="952">
        <f>'Brd Link'!F38</f>
        <v>237957.34811608869</v>
      </c>
      <c r="Q31" s="952">
        <f t="shared" si="0"/>
        <v>26</v>
      </c>
      <c r="R31" s="440" t="e">
        <f>NA()</f>
        <v>#N/A</v>
      </c>
      <c r="S31" s="414">
        <v>391201</v>
      </c>
      <c r="T31" s="953">
        <f t="shared" si="1"/>
        <v>-153243.65188391131</v>
      </c>
      <c r="U31" s="954">
        <f t="shared" si="2"/>
        <v>-0.39172612514771515</v>
      </c>
      <c r="W31" s="1166"/>
      <c r="X31" s="1166"/>
      <c r="Y31" s="1166"/>
      <c r="Z31" s="1166"/>
      <c r="AA31" s="1166"/>
      <c r="AB31" s="1166"/>
      <c r="AC31" s="1166"/>
      <c r="AD31" s="1166"/>
      <c r="AE31" s="1166"/>
      <c r="AF31" s="1166"/>
    </row>
    <row r="32" spans="1:32" ht="15.75" customHeight="1">
      <c r="A32" s="872">
        <v>2011</v>
      </c>
      <c r="O32" s="13">
        <v>1993</v>
      </c>
      <c r="P32" s="952">
        <f>'Brd Link'!F39</f>
        <v>249913.77094685714</v>
      </c>
      <c r="Q32" s="952">
        <f t="shared" si="0"/>
        <v>23</v>
      </c>
      <c r="R32" s="440" t="e">
        <f>NA()</f>
        <v>#N/A</v>
      </c>
      <c r="S32" s="414">
        <v>391201</v>
      </c>
      <c r="T32" s="953">
        <f t="shared" si="1"/>
        <v>-141287.22905314286</v>
      </c>
      <c r="U32" s="954">
        <f t="shared" si="2"/>
        <v>-0.36116275023106498</v>
      </c>
      <c r="W32" s="1166"/>
      <c r="X32" s="1166"/>
      <c r="Y32" s="1166"/>
      <c r="Z32" s="1166"/>
      <c r="AA32" s="1166"/>
      <c r="AB32" s="1166"/>
      <c r="AC32" s="1166"/>
      <c r="AD32" s="1166"/>
      <c r="AE32" s="1166"/>
      <c r="AF32" s="1166"/>
    </row>
    <row r="33" spans="1:23">
      <c r="A33" s="872">
        <v>2012</v>
      </c>
      <c r="O33" s="13">
        <v>1994</v>
      </c>
      <c r="P33" s="952">
        <f>'Brd Link'!F40</f>
        <v>210751.78888782303</v>
      </c>
      <c r="Q33" s="952">
        <f t="shared" si="0"/>
        <v>29</v>
      </c>
      <c r="R33" s="440" t="e">
        <f>NA()</f>
        <v>#N/A</v>
      </c>
      <c r="S33" s="414">
        <v>391201</v>
      </c>
      <c r="T33" s="953">
        <f t="shared" si="1"/>
        <v>-180449.21111217697</v>
      </c>
      <c r="U33" s="954">
        <f t="shared" si="2"/>
        <v>-0.46126981043549725</v>
      </c>
    </row>
    <row r="34" spans="1:23">
      <c r="O34" s="13">
        <v>1995</v>
      </c>
      <c r="P34" s="952">
        <f>'Brd Link'!F41</f>
        <v>443740.93051869422</v>
      </c>
      <c r="Q34" s="952">
        <f t="shared" si="0"/>
        <v>6</v>
      </c>
      <c r="R34" s="440" t="e">
        <f>NA()</f>
        <v>#N/A</v>
      </c>
      <c r="S34" s="414">
        <v>391201</v>
      </c>
      <c r="T34" s="953">
        <f t="shared" si="1"/>
        <v>52539.930518694222</v>
      </c>
      <c r="U34" s="954">
        <f t="shared" si="2"/>
        <v>0.1343041825524327</v>
      </c>
    </row>
    <row r="35" spans="1:23">
      <c r="O35" s="13">
        <v>1996</v>
      </c>
      <c r="P35" s="952">
        <f>'Brd Link'!F42</f>
        <v>505425.03393203206</v>
      </c>
      <c r="Q35" s="952">
        <f t="shared" si="0"/>
        <v>3</v>
      </c>
      <c r="R35" s="440" t="e">
        <f>NA()</f>
        <v>#N/A</v>
      </c>
      <c r="S35" s="414">
        <v>391201</v>
      </c>
      <c r="T35" s="953">
        <f t="shared" si="1"/>
        <v>114224.03393203206</v>
      </c>
      <c r="U35" s="954">
        <f t="shared" si="2"/>
        <v>0.29198298044236098</v>
      </c>
      <c r="W35" s="966"/>
    </row>
    <row r="36" spans="1:23">
      <c r="O36" s="13">
        <v>1997</v>
      </c>
      <c r="P36" s="952">
        <f>'Brd Link'!F43</f>
        <v>247453.35635972215</v>
      </c>
      <c r="Q36" s="952">
        <f t="shared" si="0"/>
        <v>24</v>
      </c>
      <c r="R36" s="440" t="e">
        <f>NA()</f>
        <v>#N/A</v>
      </c>
      <c r="S36" s="414">
        <v>391201</v>
      </c>
      <c r="T36" s="953">
        <f t="shared" si="1"/>
        <v>-143747.64364027785</v>
      </c>
      <c r="U36" s="954">
        <f t="shared" si="2"/>
        <v>-0.3674521374952463</v>
      </c>
      <c r="W36" s="966"/>
    </row>
    <row r="37" spans="1:23">
      <c r="O37" s="13">
        <v>1998</v>
      </c>
      <c r="P37" s="952">
        <f>'Brd Link'!F44</f>
        <v>271467.29571051238</v>
      </c>
      <c r="Q37" s="952">
        <f t="shared" si="0"/>
        <v>21</v>
      </c>
      <c r="R37" s="440" t="e">
        <f>NA()</f>
        <v>#N/A</v>
      </c>
      <c r="S37" s="414">
        <v>391201</v>
      </c>
      <c r="T37" s="953">
        <f t="shared" si="1"/>
        <v>-119733.70428948762</v>
      </c>
      <c r="U37" s="954">
        <f t="shared" si="2"/>
        <v>-0.30606696887146917</v>
      </c>
    </row>
    <row r="38" spans="1:23">
      <c r="O38" s="13">
        <v>1999</v>
      </c>
      <c r="P38" s="952">
        <f>'Brd Link'!F45</f>
        <v>219305.37513567525</v>
      </c>
      <c r="Q38" s="952">
        <f t="shared" si="0"/>
        <v>28</v>
      </c>
      <c r="R38" s="440" t="e">
        <f>NA()</f>
        <v>#N/A</v>
      </c>
      <c r="S38" s="414">
        <v>391201</v>
      </c>
      <c r="T38" s="953">
        <f t="shared" si="1"/>
        <v>-171895.62486432475</v>
      </c>
      <c r="U38" s="954">
        <f t="shared" si="2"/>
        <v>-0.43940487080637514</v>
      </c>
    </row>
    <row r="39" spans="1:23">
      <c r="O39" s="13">
        <v>2000</v>
      </c>
      <c r="P39" s="952">
        <f>'Brd Link'!F46</f>
        <v>76308.890082196463</v>
      </c>
      <c r="Q39" s="952">
        <f t="shared" si="0"/>
        <v>47</v>
      </c>
      <c r="R39" s="440" t="e">
        <f>NA()</f>
        <v>#N/A</v>
      </c>
      <c r="S39" s="414">
        <v>391201</v>
      </c>
      <c r="T39" s="953">
        <f t="shared" si="1"/>
        <v>-314892.10991780355</v>
      </c>
      <c r="U39" s="954">
        <f t="shared" si="2"/>
        <v>-0.8049368736731336</v>
      </c>
    </row>
    <row r="40" spans="1:23">
      <c r="O40" s="13">
        <v>2001</v>
      </c>
      <c r="P40" s="952">
        <f>'Brd Link'!F47</f>
        <v>100643.96414584623</v>
      </c>
      <c r="Q40" s="952">
        <f t="shared" si="0"/>
        <v>43</v>
      </c>
      <c r="R40" s="440" t="e">
        <f>NA()</f>
        <v>#N/A</v>
      </c>
      <c r="S40" s="414">
        <v>391201</v>
      </c>
      <c r="T40" s="953">
        <f t="shared" si="1"/>
        <v>-290557.0358541538</v>
      </c>
      <c r="U40" s="954">
        <f t="shared" si="2"/>
        <v>-0.74273081064249269</v>
      </c>
    </row>
    <row r="41" spans="1:23">
      <c r="O41" s="13">
        <v>2002</v>
      </c>
      <c r="P41" s="952">
        <f>'Brd Link'!F48</f>
        <v>359050.78446500207</v>
      </c>
      <c r="Q41" s="952">
        <f t="shared" si="0"/>
        <v>12</v>
      </c>
      <c r="R41" s="440" t="e">
        <f>NA()</f>
        <v>#N/A</v>
      </c>
      <c r="S41" s="414">
        <v>391201</v>
      </c>
      <c r="T41" s="953">
        <f t="shared" si="1"/>
        <v>-32150.215534997929</v>
      </c>
      <c r="U41" s="954">
        <f t="shared" si="2"/>
        <v>-8.2183367463268056E-2</v>
      </c>
    </row>
    <row r="42" spans="1:23">
      <c r="O42" s="13">
        <v>2003</v>
      </c>
      <c r="P42" s="952">
        <f>'Brd Link'!F49</f>
        <v>272182.51143379207</v>
      </c>
      <c r="Q42" s="952">
        <f t="shared" si="0"/>
        <v>20</v>
      </c>
      <c r="R42" s="440" t="e">
        <f>NA()</f>
        <v>#N/A</v>
      </c>
      <c r="S42" s="414">
        <v>391201</v>
      </c>
      <c r="T42" s="953">
        <f t="shared" si="1"/>
        <v>-119018.48856620793</v>
      </c>
      <c r="U42" s="954">
        <f t="shared" si="2"/>
        <v>-0.30423871249359774</v>
      </c>
    </row>
    <row r="43" spans="1:23">
      <c r="O43" s="13">
        <v>2004</v>
      </c>
      <c r="P43" s="952">
        <f>'Brd Link'!F50</f>
        <v>501789.11599463865</v>
      </c>
      <c r="Q43" s="952">
        <f t="shared" si="0"/>
        <v>4</v>
      </c>
      <c r="R43" s="440" t="e">
        <f>NA()</f>
        <v>#N/A</v>
      </c>
      <c r="S43" s="414">
        <v>391201</v>
      </c>
      <c r="T43" s="953">
        <f t="shared" si="1"/>
        <v>110588.11599463865</v>
      </c>
      <c r="U43" s="954">
        <f t="shared" si="2"/>
        <v>0.28268873544453782</v>
      </c>
    </row>
    <row r="44" spans="1:23">
      <c r="O44" s="13">
        <v>2005</v>
      </c>
      <c r="P44" s="952">
        <f>'Brd Link'!F51</f>
        <v>258148.88316457791</v>
      </c>
      <c r="Q44" s="952">
        <f>RANK(P44,$P$4:$P$53)</f>
        <v>22</v>
      </c>
      <c r="R44" s="440" t="e">
        <f>NA()</f>
        <v>#N/A</v>
      </c>
      <c r="S44" s="414">
        <v>391201</v>
      </c>
      <c r="T44" s="953">
        <f t="shared" si="1"/>
        <v>-133052.11683542209</v>
      </c>
      <c r="U44" s="954">
        <f t="shared" si="2"/>
        <v>-0.34011190368997546</v>
      </c>
    </row>
    <row r="45" spans="1:23">
      <c r="O45" s="13">
        <v>2006</v>
      </c>
      <c r="P45" s="952">
        <f>'Brd Link'!F52</f>
        <v>401156.89491228049</v>
      </c>
      <c r="Q45" s="952">
        <f t="shared" ref="Q45:Q53" si="11">RANK(P45,$P$4:$P$53)</f>
        <v>9</v>
      </c>
      <c r="R45" s="440" t="e">
        <f>NA()</f>
        <v>#N/A</v>
      </c>
      <c r="S45" s="414">
        <v>391201</v>
      </c>
      <c r="T45" s="953">
        <f t="shared" si="1"/>
        <v>9955.8949122804916</v>
      </c>
      <c r="U45" s="954">
        <f t="shared" si="2"/>
        <v>2.5449564066248532E-2</v>
      </c>
    </row>
    <row r="46" spans="1:23">
      <c r="O46" s="13">
        <v>2007</v>
      </c>
      <c r="P46" s="952">
        <f>'Brd Link'!F53</f>
        <v>144497.9544226641</v>
      </c>
      <c r="Q46" s="952">
        <f t="shared" si="11"/>
        <v>36</v>
      </c>
      <c r="R46" s="440" t="e">
        <f>NA()</f>
        <v>#N/A</v>
      </c>
      <c r="S46" s="414">
        <v>391201</v>
      </c>
      <c r="T46" s="953">
        <f t="shared" si="1"/>
        <v>-246703.0455773359</v>
      </c>
      <c r="U46" s="954">
        <f t="shared" si="2"/>
        <v>-0.6306298950599204</v>
      </c>
    </row>
    <row r="47" spans="1:23">
      <c r="O47" s="13">
        <v>2008</v>
      </c>
      <c r="P47" s="952">
        <f>'Brd Link'!F54</f>
        <v>103350.61858821202</v>
      </c>
      <c r="Q47" s="952">
        <f t="shared" si="11"/>
        <v>40</v>
      </c>
      <c r="R47" s="440" t="e">
        <f>NA()</f>
        <v>#N/A</v>
      </c>
      <c r="S47" s="414">
        <v>391201</v>
      </c>
      <c r="T47" s="953">
        <f t="shared" si="1"/>
        <v>-287850.381411788</v>
      </c>
      <c r="U47" s="954">
        <f t="shared" si="2"/>
        <v>-0.73581197750462801</v>
      </c>
    </row>
    <row r="48" spans="1:23">
      <c r="O48" s="13">
        <v>2009</v>
      </c>
      <c r="P48" s="952">
        <f>'Brd Link'!F55</f>
        <v>348675.14452879829</v>
      </c>
      <c r="Q48" s="952">
        <f t="shared" si="11"/>
        <v>13</v>
      </c>
      <c r="R48" s="440" t="e">
        <f>NA()</f>
        <v>#N/A</v>
      </c>
      <c r="S48" s="414">
        <v>391201</v>
      </c>
      <c r="T48" s="953">
        <f t="shared" si="1"/>
        <v>-42525.855471201707</v>
      </c>
      <c r="U48" s="954">
        <f t="shared" si="2"/>
        <v>-0.10870589663932788</v>
      </c>
    </row>
    <row r="49" spans="15:22">
      <c r="O49" s="13">
        <v>2010</v>
      </c>
      <c r="P49" s="952">
        <f>'Brd Link'!F56</f>
        <v>409775.58032286481</v>
      </c>
      <c r="Q49" s="952">
        <f t="shared" si="11"/>
        <v>8</v>
      </c>
      <c r="R49" s="440" t="e">
        <f>NA()</f>
        <v>#N/A</v>
      </c>
      <c r="S49" s="414">
        <v>391201</v>
      </c>
      <c r="T49" s="953">
        <f t="shared" si="1"/>
        <v>18574.580322864815</v>
      </c>
      <c r="U49" s="954">
        <f>T49/S49</f>
        <v>4.7480912172680578E-2</v>
      </c>
      <c r="V49" s="965"/>
    </row>
    <row r="50" spans="15:22">
      <c r="O50" s="13">
        <v>2011</v>
      </c>
      <c r="P50" s="952">
        <f>'Brd Link'!F57</f>
        <v>442676.75714160182</v>
      </c>
      <c r="Q50" s="952">
        <f t="shared" si="11"/>
        <v>7</v>
      </c>
      <c r="R50" s="440" t="e">
        <f>NA()</f>
        <v>#N/A</v>
      </c>
      <c r="S50" s="414">
        <v>391201</v>
      </c>
      <c r="T50" s="953">
        <f t="shared" si="1"/>
        <v>51475.757141601818</v>
      </c>
      <c r="U50" s="954">
        <f t="shared" ref="U50" si="12">T50/S50</f>
        <v>0.13158390991230037</v>
      </c>
      <c r="V50" s="786"/>
    </row>
    <row r="51" spans="15:22">
      <c r="O51" s="13">
        <v>2012</v>
      </c>
      <c r="P51" s="952">
        <f>'Brd Link'!F58</f>
        <v>456063.26080517849</v>
      </c>
      <c r="Q51" s="952">
        <f t="shared" si="11"/>
        <v>5</v>
      </c>
      <c r="R51" s="440" t="e">
        <f>NA()</f>
        <v>#N/A</v>
      </c>
      <c r="S51" s="414">
        <v>391201</v>
      </c>
      <c r="T51" s="953">
        <f t="shared" si="1"/>
        <v>64862.260805178492</v>
      </c>
      <c r="U51" s="954">
        <f>$T51/$S51</f>
        <v>0.16580290133506431</v>
      </c>
    </row>
    <row r="52" spans="15:22">
      <c r="O52" s="13">
        <v>2013</v>
      </c>
      <c r="P52" s="952">
        <f>'Brd Link'!F59</f>
        <v>650733.61710635398</v>
      </c>
      <c r="Q52" s="952">
        <f t="shared" si="11"/>
        <v>2</v>
      </c>
      <c r="R52" s="440" t="e">
        <f>NA()</f>
        <v>#N/A</v>
      </c>
      <c r="S52" s="414">
        <v>391201</v>
      </c>
      <c r="T52" s="953">
        <f t="shared" si="1"/>
        <v>259532.61710635398</v>
      </c>
      <c r="U52" s="954">
        <f>$T52/$S52</f>
        <v>0.66342523947115162</v>
      </c>
      <c r="V52" s="954"/>
    </row>
    <row r="53" spans="15:22">
      <c r="O53" s="13">
        <v>2014</v>
      </c>
      <c r="P53" s="952">
        <f>'Brd Link'!F60</f>
        <v>696926.54247166798</v>
      </c>
      <c r="Q53" s="952">
        <f t="shared" si="11"/>
        <v>1</v>
      </c>
      <c r="R53" s="440" t="e">
        <f>NA()</f>
        <v>#N/A</v>
      </c>
      <c r="S53" s="414">
        <v>391201</v>
      </c>
      <c r="T53" s="953">
        <f t="shared" si="1"/>
        <v>305725.54247166798</v>
      </c>
      <c r="U53" s="954">
        <f>$T53/$S53</f>
        <v>0.78150501269594908</v>
      </c>
    </row>
    <row r="54" spans="15:22">
      <c r="O54" s="13">
        <v>2015</v>
      </c>
      <c r="R54" s="534">
        <f>'Forecast by Age'!F27</f>
        <v>294892.03774752712</v>
      </c>
      <c r="V54" s="954"/>
    </row>
    <row r="55" spans="15:22">
      <c r="P55" s="275"/>
      <c r="Q55" s="275"/>
    </row>
    <row r="56" spans="15:22">
      <c r="P56" s="275"/>
      <c r="Q56" s="275"/>
    </row>
  </sheetData>
  <mergeCells count="1">
    <mergeCell ref="W30:AF32"/>
  </mergeCells>
  <phoneticPr fontId="60" type="noConversion"/>
  <pageMargins left="0.75" right="0.75" top="0.5" bottom="0.5" header="0.5" footer="0.5"/>
  <pageSetup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F55"/>
  <sheetViews>
    <sheetView view="pageBreakPreview" topLeftCell="Q1" zoomScaleNormal="100" zoomScaleSheetLayoutView="100" workbookViewId="0">
      <selection activeCell="AM34" sqref="AM34"/>
    </sheetView>
  </sheetViews>
  <sheetFormatPr defaultRowHeight="15"/>
  <cols>
    <col min="15" max="15" width="9" bestFit="1" customWidth="1"/>
    <col min="16" max="16" width="11.109375" bestFit="1" customWidth="1"/>
    <col min="17" max="17" width="7.6640625" customWidth="1"/>
    <col min="18" max="19" width="9.44140625" bestFit="1" customWidth="1"/>
    <col min="20" max="20" width="9.88671875" bestFit="1" customWidth="1"/>
    <col min="21" max="21" width="11.33203125" customWidth="1"/>
    <col min="30" max="30" width="2.109375" customWidth="1"/>
  </cols>
  <sheetData>
    <row r="1" spans="1:23">
      <c r="A1" s="440" t="str">
        <f ca="1">CELL("filename",A1)</f>
        <v>O:\DCF\SALMON\FORECAST\2015\[2015_Copper River Wild Sockeye forecast_FINAL.xlsm]Age1.3</v>
      </c>
      <c r="O1" s="655"/>
      <c r="P1" s="655"/>
      <c r="Q1" s="655"/>
      <c r="R1" s="655"/>
      <c r="S1" s="655"/>
    </row>
    <row r="2" spans="1:23">
      <c r="O2" s="655"/>
      <c r="P2" s="655"/>
      <c r="Q2" s="655"/>
      <c r="R2" s="418">
        <v>2013</v>
      </c>
      <c r="S2" s="418" t="s">
        <v>518</v>
      </c>
      <c r="T2" s="655"/>
      <c r="U2" s="227"/>
    </row>
    <row r="3" spans="1:23">
      <c r="O3" s="701" t="s">
        <v>517</v>
      </c>
      <c r="P3" s="419">
        <v>1.3</v>
      </c>
      <c r="Q3" s="419" t="s">
        <v>367</v>
      </c>
      <c r="R3" s="701" t="s">
        <v>111</v>
      </c>
      <c r="S3" s="419" t="s">
        <v>146</v>
      </c>
      <c r="T3" s="876" t="s">
        <v>107</v>
      </c>
      <c r="U3" s="324" t="s">
        <v>519</v>
      </c>
      <c r="W3" s="877" t="str">
        <f ca="1">CELL("filename",W3)</f>
        <v>O:\DCF\SALMON\FORECAST\2015\[2015_Copper River Wild Sockeye forecast_FINAL.xlsm]Age1.3</v>
      </c>
    </row>
    <row r="4" spans="1:23">
      <c r="O4" s="13">
        <v>1966</v>
      </c>
      <c r="P4" s="952">
        <f>'Brd Link'!I11</f>
        <v>1182522.7542456505</v>
      </c>
      <c r="Q4" s="952">
        <f t="shared" ref="Q4:Q50" si="0">RANK(P4,$P$4:$P$50)</f>
        <v>18</v>
      </c>
      <c r="R4" s="440" t="e">
        <f>NA()</f>
        <v>#N/A</v>
      </c>
      <c r="S4" s="414">
        <v>1364764.1503822471</v>
      </c>
      <c r="T4" s="953">
        <f>P4-S4</f>
        <v>-182241.39613659657</v>
      </c>
      <c r="U4" s="954">
        <f>T4/S4</f>
        <v>-0.13353325267633523</v>
      </c>
    </row>
    <row r="5" spans="1:23">
      <c r="A5" s="874" t="s">
        <v>520</v>
      </c>
      <c r="B5" s="406">
        <v>1.2</v>
      </c>
      <c r="C5" s="406">
        <v>1.3</v>
      </c>
      <c r="D5" s="875" t="s">
        <v>513</v>
      </c>
      <c r="E5" s="875" t="s">
        <v>514</v>
      </c>
      <c r="O5" s="13">
        <v>1967</v>
      </c>
      <c r="P5" s="952">
        <f>'Brd Link'!I12</f>
        <v>560800.76741469896</v>
      </c>
      <c r="Q5" s="952">
        <f t="shared" si="0"/>
        <v>41</v>
      </c>
      <c r="R5" s="440" t="e">
        <f>NA()</f>
        <v>#N/A</v>
      </c>
      <c r="S5" s="414">
        <v>1364764.1503822471</v>
      </c>
      <c r="T5" s="953">
        <f t="shared" ref="T5:T50" si="1">P5-S5</f>
        <v>-803963.3829675481</v>
      </c>
      <c r="U5" s="954">
        <f t="shared" ref="U5:U46" si="2">T5/S5</f>
        <v>-0.58908594773856837</v>
      </c>
    </row>
    <row r="6" spans="1:23">
      <c r="A6" s="256">
        <v>1965</v>
      </c>
      <c r="B6" s="711">
        <f>'Brd Link'!F11</f>
        <v>179040.49850974398</v>
      </c>
      <c r="C6" s="711">
        <f>'Brd Link'!I11</f>
        <v>1182522.7542456505</v>
      </c>
      <c r="D6" s="440">
        <f>LN(B6)</f>
        <v>12.095367307890312</v>
      </c>
      <c r="E6" s="440">
        <f>LN(C6)</f>
        <v>13.983160641654127</v>
      </c>
      <c r="O6" s="13">
        <v>1968</v>
      </c>
      <c r="P6" s="952">
        <f>'Brd Link'!I13</f>
        <v>491920.16191207559</v>
      </c>
      <c r="Q6" s="952">
        <f t="shared" si="0"/>
        <v>43</v>
      </c>
      <c r="R6" s="440" t="e">
        <f>NA()</f>
        <v>#N/A</v>
      </c>
      <c r="S6" s="414">
        <v>1364764.1503822471</v>
      </c>
      <c r="T6" s="953">
        <f t="shared" si="1"/>
        <v>-872843.98847017146</v>
      </c>
      <c r="U6" s="954">
        <f t="shared" si="2"/>
        <v>-0.63955665030159448</v>
      </c>
    </row>
    <row r="7" spans="1:23">
      <c r="A7" s="256">
        <v>1966</v>
      </c>
      <c r="B7" s="711">
        <f>'Brd Link'!F12</f>
        <v>102401.66367310109</v>
      </c>
      <c r="C7" s="711">
        <f>'Brd Link'!I12</f>
        <v>560800.76741469896</v>
      </c>
      <c r="D7" s="440">
        <f t="shared" ref="D7:E25" si="3">LN(B7)</f>
        <v>11.536658238263195</v>
      </c>
      <c r="E7" s="440">
        <f t="shared" si="3"/>
        <v>13.237120983130074</v>
      </c>
      <c r="O7" s="13">
        <v>1969</v>
      </c>
      <c r="P7" s="952">
        <f>'Brd Link'!I14</f>
        <v>836133.8820333922</v>
      </c>
      <c r="Q7" s="952">
        <f t="shared" si="0"/>
        <v>32</v>
      </c>
      <c r="R7" s="440" t="e">
        <f>NA()</f>
        <v>#N/A</v>
      </c>
      <c r="S7" s="414">
        <v>1364764.1503822471</v>
      </c>
      <c r="T7" s="953">
        <f t="shared" si="1"/>
        <v>-528630.26834885485</v>
      </c>
      <c r="U7" s="954">
        <f t="shared" si="2"/>
        <v>-0.38734184818731837</v>
      </c>
    </row>
    <row r="8" spans="1:23">
      <c r="A8" s="256">
        <v>1967</v>
      </c>
      <c r="B8" s="711">
        <f>'Brd Link'!F13</f>
        <v>97592.469650151805</v>
      </c>
      <c r="C8" s="711">
        <f>'Brd Link'!I13</f>
        <v>491920.16191207559</v>
      </c>
      <c r="D8" s="440">
        <f t="shared" si="3"/>
        <v>11.488555614200711</v>
      </c>
      <c r="E8" s="440">
        <f t="shared" si="3"/>
        <v>13.106071709770401</v>
      </c>
      <c r="O8" s="13">
        <v>1970</v>
      </c>
      <c r="P8" s="952">
        <f>'Brd Link'!I15</f>
        <v>1126848.439217363</v>
      </c>
      <c r="Q8" s="952">
        <f t="shared" si="0"/>
        <v>19</v>
      </c>
      <c r="R8" s="440" t="e">
        <f>NA()</f>
        <v>#N/A</v>
      </c>
      <c r="S8" s="414">
        <v>1364764.1503822471</v>
      </c>
      <c r="T8" s="953">
        <f t="shared" si="1"/>
        <v>-237915.71116488404</v>
      </c>
      <c r="U8" s="954">
        <f t="shared" si="2"/>
        <v>-0.17432734520338034</v>
      </c>
    </row>
    <row r="9" spans="1:23">
      <c r="A9" s="256">
        <v>1968</v>
      </c>
      <c r="B9" s="711">
        <f>'Brd Link'!F14</f>
        <v>290718.45227450889</v>
      </c>
      <c r="C9" s="711">
        <f>'Brd Link'!I14</f>
        <v>836133.8820333922</v>
      </c>
      <c r="D9" s="440">
        <f t="shared" si="3"/>
        <v>12.580110559849002</v>
      </c>
      <c r="E9" s="440">
        <f t="shared" si="3"/>
        <v>13.636544025217798</v>
      </c>
      <c r="O9" s="13">
        <v>1971</v>
      </c>
      <c r="P9" s="952">
        <f>'Brd Link'!I16</f>
        <v>886578.61449924554</v>
      </c>
      <c r="Q9" s="952">
        <f t="shared" si="0"/>
        <v>30</v>
      </c>
      <c r="R9" s="440" t="e">
        <f>NA()</f>
        <v>#N/A</v>
      </c>
      <c r="S9" s="414">
        <v>1364764.1503822471</v>
      </c>
      <c r="T9" s="953">
        <f t="shared" si="1"/>
        <v>-478185.53588300152</v>
      </c>
      <c r="U9" s="954">
        <f t="shared" si="2"/>
        <v>-0.35037961375895604</v>
      </c>
    </row>
    <row r="10" spans="1:23">
      <c r="A10" s="256">
        <v>1969</v>
      </c>
      <c r="B10" s="711">
        <f>'Brd Link'!F15</f>
        <v>386377.08528941998</v>
      </c>
      <c r="C10" s="711">
        <f>'Brd Link'!I15</f>
        <v>1126848.439217363</v>
      </c>
      <c r="D10" s="440">
        <f t="shared" si="3"/>
        <v>12.864569076480791</v>
      </c>
      <c r="E10" s="440">
        <f t="shared" si="3"/>
        <v>13.934935302361204</v>
      </c>
      <c r="O10" s="13">
        <v>1972</v>
      </c>
      <c r="P10" s="952">
        <f>'Brd Link'!I17</f>
        <v>707854.19432154007</v>
      </c>
      <c r="Q10" s="952">
        <f t="shared" si="0"/>
        <v>37</v>
      </c>
      <c r="R10" s="440" t="e">
        <f>NA()</f>
        <v>#N/A</v>
      </c>
      <c r="S10" s="414">
        <v>1364764.1503822471</v>
      </c>
      <c r="T10" s="953">
        <f t="shared" si="1"/>
        <v>-656909.95606070699</v>
      </c>
      <c r="U10" s="954">
        <f t="shared" si="2"/>
        <v>-0.48133588201061533</v>
      </c>
    </row>
    <row r="11" spans="1:23">
      <c r="A11" s="256">
        <v>1970</v>
      </c>
      <c r="B11" s="711">
        <f>'Brd Link'!F16</f>
        <v>302159.62071066484</v>
      </c>
      <c r="C11" s="711">
        <f>'Brd Link'!I16</f>
        <v>886578.61449924554</v>
      </c>
      <c r="D11" s="440">
        <f t="shared" si="3"/>
        <v>12.618710702125638</v>
      </c>
      <c r="E11" s="440">
        <f t="shared" si="3"/>
        <v>13.695125080202772</v>
      </c>
      <c r="O11" s="13">
        <v>1973</v>
      </c>
      <c r="P11" s="952">
        <f>'Brd Link'!I18</f>
        <v>592986.4878251045</v>
      </c>
      <c r="Q11" s="952">
        <f t="shared" si="0"/>
        <v>40</v>
      </c>
      <c r="R11" s="440" t="e">
        <f>NA()</f>
        <v>#N/A</v>
      </c>
      <c r="S11" s="414">
        <v>1364764.1503822471</v>
      </c>
      <c r="T11" s="953">
        <f t="shared" si="1"/>
        <v>-771777.66255714255</v>
      </c>
      <c r="U11" s="954">
        <f t="shared" si="2"/>
        <v>-0.56550259056920626</v>
      </c>
    </row>
    <row r="12" spans="1:23">
      <c r="A12" s="256">
        <v>1971</v>
      </c>
      <c r="B12" s="711">
        <f>'Brd Link'!F17</f>
        <v>97321.711125474932</v>
      </c>
      <c r="C12" s="711">
        <f>'Brd Link'!I17</f>
        <v>707854.19432154007</v>
      </c>
      <c r="D12" s="440">
        <f t="shared" si="3"/>
        <v>11.485777379207695</v>
      </c>
      <c r="E12" s="440">
        <f t="shared" si="3"/>
        <v>13.469993411243443</v>
      </c>
      <c r="O12" s="13">
        <v>1974</v>
      </c>
      <c r="P12" s="952">
        <f>'Brd Link'!I19</f>
        <v>638486.34876982134</v>
      </c>
      <c r="Q12" s="952">
        <f t="shared" si="0"/>
        <v>39</v>
      </c>
      <c r="R12" s="440" t="e">
        <f>NA()</f>
        <v>#N/A</v>
      </c>
      <c r="S12" s="414">
        <v>1364764.1503822471</v>
      </c>
      <c r="T12" s="953">
        <f t="shared" si="1"/>
        <v>-726277.80161242571</v>
      </c>
      <c r="U12" s="954">
        <f t="shared" si="2"/>
        <v>-0.53216359867674412</v>
      </c>
    </row>
    <row r="13" spans="1:23">
      <c r="A13" s="256">
        <v>1972</v>
      </c>
      <c r="B13" s="711">
        <f>'Brd Link'!F18</f>
        <v>145881.52486171451</v>
      </c>
      <c r="C13" s="711">
        <f>'Brd Link'!I18</f>
        <v>592986.4878251045</v>
      </c>
      <c r="D13" s="440">
        <f t="shared" si="3"/>
        <v>11.890550097717687</v>
      </c>
      <c r="E13" s="440">
        <f t="shared" si="3"/>
        <v>13.292926891590582</v>
      </c>
      <c r="O13" s="13">
        <v>1975</v>
      </c>
      <c r="P13" s="952">
        <f>'Brd Link'!I20</f>
        <v>346614.00262167363</v>
      </c>
      <c r="Q13" s="952">
        <f t="shared" si="0"/>
        <v>46</v>
      </c>
      <c r="R13" s="440" t="e">
        <f>NA()</f>
        <v>#N/A</v>
      </c>
      <c r="S13" s="414">
        <v>1364764.1503822471</v>
      </c>
      <c r="T13" s="953">
        <f t="shared" si="1"/>
        <v>-1018150.1477605734</v>
      </c>
      <c r="U13" s="954">
        <f t="shared" si="2"/>
        <v>-0.74602644528390272</v>
      </c>
    </row>
    <row r="14" spans="1:23">
      <c r="A14" s="256">
        <v>1973</v>
      </c>
      <c r="B14" s="711">
        <f>'Brd Link'!F19</f>
        <v>101514.29846521815</v>
      </c>
      <c r="C14" s="711">
        <f>'Brd Link'!I19</f>
        <v>638486.34876982134</v>
      </c>
      <c r="D14" s="440">
        <f t="shared" si="3"/>
        <v>11.527954939121013</v>
      </c>
      <c r="E14" s="440">
        <f t="shared" si="3"/>
        <v>13.366855574069275</v>
      </c>
      <c r="O14" s="13">
        <v>1976</v>
      </c>
      <c r="P14" s="952">
        <f>'Brd Link'!I21</f>
        <v>940919.76351097296</v>
      </c>
      <c r="Q14" s="952">
        <f t="shared" si="0"/>
        <v>26</v>
      </c>
      <c r="R14" s="440" t="e">
        <f>NA()</f>
        <v>#N/A</v>
      </c>
      <c r="S14" s="414">
        <v>1364764.1503822471</v>
      </c>
      <c r="T14" s="953">
        <f t="shared" si="1"/>
        <v>-423844.3868712741</v>
      </c>
      <c r="U14" s="954">
        <f t="shared" si="2"/>
        <v>-0.31056236841549695</v>
      </c>
    </row>
    <row r="15" spans="1:23">
      <c r="A15" s="256">
        <v>1974</v>
      </c>
      <c r="B15" s="711">
        <f>'Brd Link'!F20</f>
        <v>83934.462420078504</v>
      </c>
      <c r="C15" s="711">
        <f>'Brd Link'!I20</f>
        <v>346614.00262167363</v>
      </c>
      <c r="D15" s="440">
        <f t="shared" si="3"/>
        <v>11.337791564019003</v>
      </c>
      <c r="E15" s="440">
        <f t="shared" si="3"/>
        <v>12.755967055394713</v>
      </c>
      <c r="O15" s="13">
        <v>1977</v>
      </c>
      <c r="P15" s="952">
        <f>'Brd Link'!I22</f>
        <v>846188.38728043251</v>
      </c>
      <c r="Q15" s="952">
        <f t="shared" si="0"/>
        <v>31</v>
      </c>
      <c r="R15" s="440" t="e">
        <f>NA()</f>
        <v>#N/A</v>
      </c>
      <c r="S15" s="414">
        <v>1364764.1503822471</v>
      </c>
      <c r="T15" s="953">
        <f t="shared" si="1"/>
        <v>-518575.76310181455</v>
      </c>
      <c r="U15" s="954">
        <f t="shared" si="2"/>
        <v>-0.37997463734416703</v>
      </c>
    </row>
    <row r="16" spans="1:23">
      <c r="A16" s="256">
        <v>1975</v>
      </c>
      <c r="B16" s="711">
        <f>'Brd Link'!F21</f>
        <v>48348.917227885802</v>
      </c>
      <c r="C16" s="711">
        <f>'Brd Link'!I21</f>
        <v>940919.76351097296</v>
      </c>
      <c r="D16" s="440">
        <f t="shared" si="3"/>
        <v>10.786199106171235</v>
      </c>
      <c r="E16" s="440">
        <f t="shared" si="3"/>
        <v>13.754613147674856</v>
      </c>
      <c r="O16" s="13">
        <v>1978</v>
      </c>
      <c r="P16" s="952">
        <f>'Brd Link'!I23</f>
        <v>297364.96532358415</v>
      </c>
      <c r="Q16" s="952">
        <f t="shared" si="0"/>
        <v>47</v>
      </c>
      <c r="R16" s="440" t="e">
        <f>NA()</f>
        <v>#N/A</v>
      </c>
      <c r="S16" s="414">
        <v>1364764.1503822471</v>
      </c>
      <c r="T16" s="953">
        <f t="shared" si="1"/>
        <v>-1067399.1850586629</v>
      </c>
      <c r="U16" s="954">
        <f t="shared" si="2"/>
        <v>-0.78211256117747718</v>
      </c>
    </row>
    <row r="17" spans="1:32">
      <c r="A17" s="256">
        <v>1976</v>
      </c>
      <c r="B17" s="711">
        <f>'Brd Link'!F22</f>
        <v>140037.97254138521</v>
      </c>
      <c r="C17" s="711">
        <f>'Brd Link'!I22</f>
        <v>846188.38728043251</v>
      </c>
      <c r="D17" s="440">
        <f t="shared" si="3"/>
        <v>11.849668897253039</v>
      </c>
      <c r="E17" s="440">
        <f t="shared" si="3"/>
        <v>13.648497293799361</v>
      </c>
      <c r="O17" s="13">
        <v>1979</v>
      </c>
      <c r="P17" s="952">
        <f>'Brd Link'!I24</f>
        <v>442734.39909796033</v>
      </c>
      <c r="Q17" s="952">
        <f t="shared" si="0"/>
        <v>44</v>
      </c>
      <c r="R17" s="440" t="e">
        <f>NA()</f>
        <v>#N/A</v>
      </c>
      <c r="S17" s="414">
        <v>1364764.1503822471</v>
      </c>
      <c r="T17" s="953">
        <f t="shared" si="1"/>
        <v>-922029.75128428673</v>
      </c>
      <c r="U17" s="954">
        <f t="shared" si="2"/>
        <v>-0.67559640325109804</v>
      </c>
    </row>
    <row r="18" spans="1:32">
      <c r="A18" s="256">
        <v>1977</v>
      </c>
      <c r="B18" s="711">
        <f>'Brd Link'!F23</f>
        <v>30330.912651635219</v>
      </c>
      <c r="C18" s="711">
        <f>'Brd Link'!I23</f>
        <v>297364.96532358415</v>
      </c>
      <c r="D18" s="440">
        <f t="shared" si="3"/>
        <v>10.319922690953129</v>
      </c>
      <c r="E18" s="440">
        <f t="shared" si="3"/>
        <v>12.602715502852924</v>
      </c>
      <c r="O18" s="13">
        <v>1980</v>
      </c>
      <c r="P18" s="952">
        <f>'Brd Link'!I25</f>
        <v>410835.62987088464</v>
      </c>
      <c r="Q18" s="952">
        <f t="shared" si="0"/>
        <v>45</v>
      </c>
      <c r="R18" s="440" t="e">
        <f>NA()</f>
        <v>#N/A</v>
      </c>
      <c r="S18" s="414">
        <v>1364764.1503822471</v>
      </c>
      <c r="T18" s="953">
        <f t="shared" si="1"/>
        <v>-953928.52051136247</v>
      </c>
      <c r="U18" s="954">
        <f t="shared" si="2"/>
        <v>-0.69896950344437425</v>
      </c>
    </row>
    <row r="19" spans="1:32">
      <c r="A19" s="256">
        <v>1978</v>
      </c>
      <c r="B19" s="711">
        <f>'Brd Link'!F24</f>
        <v>154457.91935439411</v>
      </c>
      <c r="C19" s="711">
        <f>'Brd Link'!I24</f>
        <v>442734.39909796033</v>
      </c>
      <c r="D19" s="440">
        <f t="shared" si="3"/>
        <v>11.947676971583181</v>
      </c>
      <c r="E19" s="440">
        <f t="shared" si="3"/>
        <v>13.000725318656022</v>
      </c>
      <c r="O19" s="13">
        <v>1981</v>
      </c>
      <c r="P19" s="952">
        <f>'Brd Link'!I26</f>
        <v>897075.92530656559</v>
      </c>
      <c r="Q19" s="952">
        <f t="shared" si="0"/>
        <v>29</v>
      </c>
      <c r="R19" s="440" t="e">
        <f>NA()</f>
        <v>#N/A</v>
      </c>
      <c r="S19" s="414">
        <v>1364764.1503822471</v>
      </c>
      <c r="T19" s="953">
        <f t="shared" si="1"/>
        <v>-467688.22507568146</v>
      </c>
      <c r="U19" s="954">
        <f t="shared" si="2"/>
        <v>-0.34268794717731266</v>
      </c>
    </row>
    <row r="20" spans="1:32">
      <c r="A20" s="256">
        <v>1979</v>
      </c>
      <c r="B20" s="711">
        <f>'Brd Link'!F25</f>
        <v>68722.812745743839</v>
      </c>
      <c r="C20" s="711">
        <f>'Brd Link'!I25</f>
        <v>410835.62987088464</v>
      </c>
      <c r="D20" s="440">
        <f t="shared" si="3"/>
        <v>11.137836486346464</v>
      </c>
      <c r="E20" s="440">
        <f t="shared" si="3"/>
        <v>12.925948486164664</v>
      </c>
      <c r="O20" s="13">
        <v>1982</v>
      </c>
      <c r="P20" s="952">
        <f>'Brd Link'!I27</f>
        <v>1351823.9406582871</v>
      </c>
      <c r="Q20" s="952">
        <f t="shared" si="0"/>
        <v>12</v>
      </c>
      <c r="R20" s="440" t="e">
        <f>NA()</f>
        <v>#N/A</v>
      </c>
      <c r="S20" s="414">
        <v>1364764.1503822471</v>
      </c>
      <c r="T20" s="953">
        <f t="shared" si="1"/>
        <v>-12940.20972395991</v>
      </c>
      <c r="U20" s="954">
        <f t="shared" si="2"/>
        <v>-9.4816453966317764E-3</v>
      </c>
    </row>
    <row r="21" spans="1:32">
      <c r="A21" s="256">
        <v>1980</v>
      </c>
      <c r="B21" s="711">
        <f>'Brd Link'!F26</f>
        <v>173715.68474284798</v>
      </c>
      <c r="C21" s="711">
        <f>'Brd Link'!I26</f>
        <v>897075.92530656559</v>
      </c>
      <c r="D21" s="440">
        <f t="shared" si="3"/>
        <v>12.065175246038875</v>
      </c>
      <c r="E21" s="440">
        <f t="shared" si="3"/>
        <v>13.706895781055929</v>
      </c>
      <c r="O21" s="13">
        <v>1983</v>
      </c>
      <c r="P21" s="952">
        <f>'Brd Link'!I28</f>
        <v>817109.74979398493</v>
      </c>
      <c r="Q21" s="952">
        <f t="shared" si="0"/>
        <v>33</v>
      </c>
      <c r="R21" s="440" t="e">
        <f>NA()</f>
        <v>#N/A</v>
      </c>
      <c r="S21" s="414">
        <v>1364764.1503822471</v>
      </c>
      <c r="T21" s="953">
        <f t="shared" si="1"/>
        <v>-547654.40058826213</v>
      </c>
      <c r="U21" s="954">
        <f t="shared" si="2"/>
        <v>-0.40128134992033132</v>
      </c>
    </row>
    <row r="22" spans="1:32">
      <c r="A22" s="256">
        <v>1981</v>
      </c>
      <c r="B22" s="711">
        <f>'Brd Link'!F27</f>
        <v>135148.94242353513</v>
      </c>
      <c r="C22" s="711">
        <f>'Brd Link'!I27</f>
        <v>1351823.9406582871</v>
      </c>
      <c r="D22" s="440">
        <f t="shared" si="3"/>
        <v>11.814132726468909</v>
      </c>
      <c r="E22" s="440">
        <f t="shared" si="3"/>
        <v>14.11696530569891</v>
      </c>
      <c r="O22" s="13">
        <v>1984</v>
      </c>
      <c r="P22" s="952">
        <f>'Brd Link'!I29</f>
        <v>1424421.7932741994</v>
      </c>
      <c r="Q22" s="952">
        <f t="shared" si="0"/>
        <v>9</v>
      </c>
      <c r="R22" s="440" t="e">
        <f>NA()</f>
        <v>#N/A</v>
      </c>
      <c r="S22" s="414">
        <v>1364764.1503822471</v>
      </c>
      <c r="T22" s="953">
        <f t="shared" si="1"/>
        <v>59657.642891952302</v>
      </c>
      <c r="U22" s="954">
        <f t="shared" si="2"/>
        <v>4.3712785740483595E-2</v>
      </c>
    </row>
    <row r="23" spans="1:32">
      <c r="A23" s="256">
        <v>1982</v>
      </c>
      <c r="B23" s="711">
        <f>'Brd Link'!F28</f>
        <v>359995.48750384717</v>
      </c>
      <c r="C23" s="711">
        <f>'Brd Link'!I28</f>
        <v>817109.74979398493</v>
      </c>
      <c r="D23" s="440">
        <f t="shared" si="3"/>
        <v>12.793846775642196</v>
      </c>
      <c r="E23" s="440">
        <f t="shared" si="3"/>
        <v>13.613528697493491</v>
      </c>
      <c r="O23" s="13">
        <v>1985</v>
      </c>
      <c r="P23" s="952">
        <f>'Brd Link'!I30</f>
        <v>1044206.836082815</v>
      </c>
      <c r="Q23" s="952">
        <f t="shared" si="0"/>
        <v>23</v>
      </c>
      <c r="R23" s="440" t="e">
        <f>NA()</f>
        <v>#N/A</v>
      </c>
      <c r="S23" s="414">
        <v>1364764.1503822471</v>
      </c>
      <c r="T23" s="953">
        <f t="shared" si="1"/>
        <v>-320557.3142994321</v>
      </c>
      <c r="U23" s="954">
        <f t="shared" si="2"/>
        <v>-0.23488110690015523</v>
      </c>
    </row>
    <row r="24" spans="1:32">
      <c r="A24" s="256">
        <v>1983</v>
      </c>
      <c r="B24" s="711">
        <f>'Brd Link'!F29</f>
        <v>346502.19282529014</v>
      </c>
      <c r="C24" s="711">
        <f>'Brd Link'!I29</f>
        <v>1424421.7932741994</v>
      </c>
      <c r="D24" s="440">
        <f t="shared" si="3"/>
        <v>12.755644426092186</v>
      </c>
      <c r="E24" s="440">
        <f t="shared" si="3"/>
        <v>14.169276530236562</v>
      </c>
      <c r="O24" s="13">
        <v>1986</v>
      </c>
      <c r="P24" s="952">
        <f>'Brd Link'!I31</f>
        <v>729707.86718836357</v>
      </c>
      <c r="Q24" s="952">
        <f t="shared" si="0"/>
        <v>36</v>
      </c>
      <c r="R24" s="440" t="e">
        <f>NA()</f>
        <v>#N/A</v>
      </c>
      <c r="S24" s="414">
        <v>1364764.1503822471</v>
      </c>
      <c r="T24" s="953">
        <f t="shared" si="1"/>
        <v>-635056.28319388349</v>
      </c>
      <c r="U24" s="954">
        <f t="shared" si="2"/>
        <v>-0.46532309851194076</v>
      </c>
    </row>
    <row r="25" spans="1:32">
      <c r="A25" s="256">
        <v>1984</v>
      </c>
      <c r="B25" s="711">
        <f>'Brd Link'!F30</f>
        <v>203458.33386630402</v>
      </c>
      <c r="C25" s="711">
        <f>'Brd Link'!I30</f>
        <v>1044206.836082815</v>
      </c>
      <c r="D25" s="440">
        <f t="shared" si="3"/>
        <v>12.223216515315409</v>
      </c>
      <c r="E25" s="440">
        <f t="shared" si="3"/>
        <v>13.858768146655043</v>
      </c>
      <c r="O25" s="13">
        <v>1987</v>
      </c>
      <c r="P25" s="952">
        <f>'Brd Link'!I32</f>
        <v>1361112.3412895144</v>
      </c>
      <c r="Q25" s="952">
        <f t="shared" si="0"/>
        <v>11</v>
      </c>
      <c r="R25" s="440" t="e">
        <f>NA()</f>
        <v>#N/A</v>
      </c>
      <c r="S25" s="414">
        <v>1364764.1503822471</v>
      </c>
      <c r="T25" s="953">
        <f t="shared" si="1"/>
        <v>-3651.809092732612</v>
      </c>
      <c r="U25" s="954">
        <f t="shared" si="2"/>
        <v>-2.6757803476225566E-3</v>
      </c>
    </row>
    <row r="26" spans="1:32">
      <c r="A26" s="256">
        <v>1985</v>
      </c>
      <c r="B26" s="711">
        <f>'Brd Link'!F31</f>
        <v>157083.49997006214</v>
      </c>
      <c r="C26" s="711">
        <f>'Brd Link'!I31</f>
        <v>729707.86718836357</v>
      </c>
      <c r="D26" s="440">
        <f t="shared" ref="D26:E28" si="4">LN(B26)</f>
        <v>11.964532789893058</v>
      </c>
      <c r="E26" s="440">
        <f t="shared" si="4"/>
        <v>13.500399551096667</v>
      </c>
      <c r="O26" s="13">
        <v>1988</v>
      </c>
      <c r="P26" s="952">
        <f>'Brd Link'!I33</f>
        <v>536879.18023254443</v>
      </c>
      <c r="Q26" s="952">
        <f t="shared" si="0"/>
        <v>42</v>
      </c>
      <c r="R26" s="440" t="e">
        <f>NA()</f>
        <v>#N/A</v>
      </c>
      <c r="S26" s="414">
        <v>1364764.1503822471</v>
      </c>
      <c r="T26" s="953">
        <f t="shared" si="1"/>
        <v>-827884.97014970263</v>
      </c>
      <c r="U26" s="954">
        <f t="shared" si="2"/>
        <v>-0.60661394858432227</v>
      </c>
    </row>
    <row r="27" spans="1:32">
      <c r="A27" s="256">
        <v>1986</v>
      </c>
      <c r="B27" s="711">
        <f>'Brd Link'!F32</f>
        <v>292198.40738779912</v>
      </c>
      <c r="C27" s="711">
        <f>'Brd Link'!I32</f>
        <v>1361112.3412895144</v>
      </c>
      <c r="D27" s="440">
        <f t="shared" si="4"/>
        <v>12.585188327865673</v>
      </c>
      <c r="E27" s="440">
        <f t="shared" si="4"/>
        <v>14.123812821422923</v>
      </c>
      <c r="O27" s="13">
        <v>1989</v>
      </c>
      <c r="P27" s="952">
        <f>'Brd Link'!I34</f>
        <v>1012944.0742998301</v>
      </c>
      <c r="Q27" s="952">
        <f t="shared" si="0"/>
        <v>24</v>
      </c>
      <c r="R27" s="440" t="e">
        <f>NA()</f>
        <v>#N/A</v>
      </c>
      <c r="S27" s="414">
        <v>1364764.1503822471</v>
      </c>
      <c r="T27" s="953">
        <f t="shared" si="1"/>
        <v>-351820.07608241693</v>
      </c>
      <c r="U27" s="954">
        <f t="shared" si="2"/>
        <v>-0.25778818705332945</v>
      </c>
    </row>
    <row r="28" spans="1:32">
      <c r="A28" s="256">
        <v>1987</v>
      </c>
      <c r="B28" s="711">
        <f>'Brd Link'!F33</f>
        <v>113889.25746653602</v>
      </c>
      <c r="C28" s="711">
        <f>'Brd Link'!I33</f>
        <v>536879.18023254443</v>
      </c>
      <c r="D28" s="440">
        <f t="shared" si="4"/>
        <v>11.642981829504725</v>
      </c>
      <c r="E28" s="440">
        <f t="shared" si="4"/>
        <v>13.193528357920927</v>
      </c>
      <c r="O28" s="13">
        <v>1990</v>
      </c>
      <c r="P28" s="952">
        <f>'Brd Link'!I35</f>
        <v>641426.45512191299</v>
      </c>
      <c r="Q28" s="952">
        <f t="shared" si="0"/>
        <v>38</v>
      </c>
      <c r="R28" s="440" t="e">
        <f>NA()</f>
        <v>#N/A</v>
      </c>
      <c r="S28" s="414">
        <v>1364764.1503822471</v>
      </c>
      <c r="T28" s="953">
        <f t="shared" si="1"/>
        <v>-723337.69526033406</v>
      </c>
      <c r="U28" s="954">
        <f t="shared" si="2"/>
        <v>-0.53000930238220245</v>
      </c>
    </row>
    <row r="29" spans="1:32">
      <c r="A29" s="256">
        <v>1988</v>
      </c>
      <c r="B29" s="711">
        <f>'Brd Link'!F34</f>
        <v>294557.28228182066</v>
      </c>
      <c r="C29" s="711">
        <f>'Brd Link'!I34</f>
        <v>1012944.0742998301</v>
      </c>
      <c r="D29" s="440">
        <f t="shared" ref="D29:D52" si="5">LN(B29)</f>
        <v>12.593228770058985</v>
      </c>
      <c r="E29" s="440">
        <f t="shared" ref="E29:E52" si="6">LN(C29)</f>
        <v>13.828371573710584</v>
      </c>
      <c r="O29" s="13">
        <v>1991</v>
      </c>
      <c r="P29" s="952">
        <f>'Brd Link'!I36</f>
        <v>1292395.1381037389</v>
      </c>
      <c r="Q29" s="952">
        <f t="shared" si="0"/>
        <v>15</v>
      </c>
      <c r="R29" s="440" t="e">
        <f>NA()</f>
        <v>#N/A</v>
      </c>
      <c r="S29" s="414">
        <v>1364764.1503822471</v>
      </c>
      <c r="T29" s="953">
        <f t="shared" si="1"/>
        <v>-72369.012278508162</v>
      </c>
      <c r="U29" s="954">
        <f t="shared" si="2"/>
        <v>-5.3026753566349789E-2</v>
      </c>
    </row>
    <row r="30" spans="1:32" ht="20.25" customHeight="1">
      <c r="A30" s="256">
        <v>1989</v>
      </c>
      <c r="B30" s="711">
        <f>'Brd Link'!F35</f>
        <v>240741.58041960336</v>
      </c>
      <c r="C30" s="711">
        <f>'Brd Link'!I35</f>
        <v>641426.45512191299</v>
      </c>
      <c r="D30" s="440">
        <f t="shared" si="5"/>
        <v>12.391479356752267</v>
      </c>
      <c r="E30" s="440">
        <f t="shared" si="6"/>
        <v>13.37144981129318</v>
      </c>
      <c r="O30" s="13">
        <v>1992</v>
      </c>
      <c r="P30" s="952">
        <f>'Brd Link'!I37</f>
        <v>1075295.1477904324</v>
      </c>
      <c r="Q30" s="952">
        <f t="shared" si="0"/>
        <v>21</v>
      </c>
      <c r="R30" s="440" t="e">
        <f>NA()</f>
        <v>#N/A</v>
      </c>
      <c r="S30" s="414">
        <v>1364764.1503822471</v>
      </c>
      <c r="T30" s="953">
        <f t="shared" si="1"/>
        <v>-289469.00259181461</v>
      </c>
      <c r="U30" s="954">
        <f t="shared" si="2"/>
        <v>-0.2121018510859472</v>
      </c>
      <c r="W30" s="1166" t="s">
        <v>550</v>
      </c>
      <c r="X30" s="1166"/>
      <c r="Y30" s="1166"/>
      <c r="Z30" s="1166"/>
      <c r="AA30" s="1166"/>
      <c r="AB30" s="1166"/>
      <c r="AC30" s="1166"/>
      <c r="AD30" s="1166"/>
      <c r="AE30" s="1166"/>
      <c r="AF30" s="1166"/>
    </row>
    <row r="31" spans="1:32" ht="15.75" customHeight="1">
      <c r="A31" s="256">
        <v>1990</v>
      </c>
      <c r="B31" s="711">
        <f>'Brd Link'!F36</f>
        <v>283682.55642391811</v>
      </c>
      <c r="C31" s="711">
        <f>'Brd Link'!I36</f>
        <v>1292395.1381037389</v>
      </c>
      <c r="D31" s="440">
        <f t="shared" si="5"/>
        <v>12.555611132914068</v>
      </c>
      <c r="E31" s="440">
        <f t="shared" si="6"/>
        <v>14.072007751012482</v>
      </c>
      <c r="O31" s="13">
        <v>1993</v>
      </c>
      <c r="P31" s="952">
        <f>'Brd Link'!I38</f>
        <v>1329979.1552080857</v>
      </c>
      <c r="Q31" s="952">
        <f t="shared" si="0"/>
        <v>14</v>
      </c>
      <c r="R31" s="440" t="e">
        <f>NA()</f>
        <v>#N/A</v>
      </c>
      <c r="S31" s="414">
        <v>1364764.1503822471</v>
      </c>
      <c r="T31" s="953">
        <f t="shared" si="1"/>
        <v>-34784.995174161391</v>
      </c>
      <c r="U31" s="954">
        <f t="shared" si="2"/>
        <v>-2.5487916842202158E-2</v>
      </c>
      <c r="W31" s="1166"/>
      <c r="X31" s="1166"/>
      <c r="Y31" s="1166"/>
      <c r="Z31" s="1166"/>
      <c r="AA31" s="1166"/>
      <c r="AB31" s="1166"/>
      <c r="AC31" s="1166"/>
      <c r="AD31" s="1166"/>
      <c r="AE31" s="1166"/>
      <c r="AF31" s="1166"/>
    </row>
    <row r="32" spans="1:32" ht="15.75" customHeight="1">
      <c r="A32" s="256">
        <v>1991</v>
      </c>
      <c r="B32" s="711">
        <f>'Brd Link'!F37</f>
        <v>229875.14425105081</v>
      </c>
      <c r="C32" s="711">
        <f>'Brd Link'!I37</f>
        <v>1075295.1477904324</v>
      </c>
      <c r="D32" s="440">
        <f t="shared" si="5"/>
        <v>12.345291589425951</v>
      </c>
      <c r="E32" s="440">
        <f t="shared" si="6"/>
        <v>13.888105737944398</v>
      </c>
      <c r="O32" s="13">
        <v>1994</v>
      </c>
      <c r="P32" s="952">
        <f>'Brd Link'!I39</f>
        <v>1332570.2372110838</v>
      </c>
      <c r="Q32" s="952">
        <f t="shared" si="0"/>
        <v>13</v>
      </c>
      <c r="R32" s="440" t="e">
        <f>NA()</f>
        <v>#N/A</v>
      </c>
      <c r="S32" s="414">
        <v>1364764.1503822471</v>
      </c>
      <c r="T32" s="953">
        <f t="shared" si="1"/>
        <v>-32193.913171163294</v>
      </c>
      <c r="U32" s="954">
        <f t="shared" si="2"/>
        <v>-2.3589360229125545E-2</v>
      </c>
      <c r="W32" s="1166"/>
      <c r="X32" s="1166"/>
      <c r="Y32" s="1166"/>
      <c r="Z32" s="1166"/>
      <c r="AA32" s="1166"/>
      <c r="AB32" s="1166"/>
      <c r="AC32" s="1166"/>
      <c r="AD32" s="1166"/>
      <c r="AE32" s="1166"/>
      <c r="AF32" s="1166"/>
    </row>
    <row r="33" spans="1:23">
      <c r="A33" s="256">
        <v>1992</v>
      </c>
      <c r="B33" s="711">
        <f>'Brd Link'!F38</f>
        <v>237957.34811608869</v>
      </c>
      <c r="C33" s="711">
        <f>'Brd Link'!I38</f>
        <v>1329979.1552080857</v>
      </c>
      <c r="D33" s="440">
        <f t="shared" si="5"/>
        <v>12.379846726997387</v>
      </c>
      <c r="E33" s="440">
        <f t="shared" si="6"/>
        <v>14.100673827299241</v>
      </c>
      <c r="O33" s="13">
        <v>1995</v>
      </c>
      <c r="P33" s="952">
        <f>'Brd Link'!I40</f>
        <v>1060308.8407004261</v>
      </c>
      <c r="Q33" s="952">
        <f t="shared" si="0"/>
        <v>22</v>
      </c>
      <c r="R33" s="440" t="e">
        <f>NA()</f>
        <v>#N/A</v>
      </c>
      <c r="S33" s="414">
        <v>1364764.1503822471</v>
      </c>
      <c r="T33" s="953">
        <f t="shared" si="1"/>
        <v>-304455.30968182092</v>
      </c>
      <c r="U33" s="954">
        <f t="shared" si="2"/>
        <v>-0.22308272795453207</v>
      </c>
    </row>
    <row r="34" spans="1:23">
      <c r="A34" s="256">
        <v>1993</v>
      </c>
      <c r="B34" s="711">
        <f>'Brd Link'!F39</f>
        <v>249913.77094685714</v>
      </c>
      <c r="C34" s="711">
        <f>'Brd Link'!I39</f>
        <v>1332570.2372110838</v>
      </c>
      <c r="D34" s="440">
        <f t="shared" si="5"/>
        <v>12.428871221134534</v>
      </c>
      <c r="E34" s="440">
        <f t="shared" si="6"/>
        <v>14.102620144485565</v>
      </c>
      <c r="O34" s="13">
        <v>1996</v>
      </c>
      <c r="P34" s="952">
        <f>'Brd Link'!I41</f>
        <v>1989184.4640360922</v>
      </c>
      <c r="Q34" s="952">
        <f t="shared" si="0"/>
        <v>4</v>
      </c>
      <c r="R34" s="440" t="e">
        <f>NA()</f>
        <v>#N/A</v>
      </c>
      <c r="S34" s="414">
        <v>1364764.1503822471</v>
      </c>
      <c r="T34" s="953">
        <f t="shared" si="1"/>
        <v>624420.31365384511</v>
      </c>
      <c r="U34" s="954">
        <f t="shared" si="2"/>
        <v>0.45752983288647764</v>
      </c>
    </row>
    <row r="35" spans="1:23">
      <c r="A35" s="256">
        <v>1994</v>
      </c>
      <c r="B35" s="711">
        <f>'Brd Link'!F40</f>
        <v>210751.78888782303</v>
      </c>
      <c r="C35" s="711">
        <f>'Brd Link'!I40</f>
        <v>1060308.8407004261</v>
      </c>
      <c r="D35" s="440">
        <f t="shared" si="5"/>
        <v>12.258436364026526</v>
      </c>
      <c r="E35" s="440">
        <f t="shared" si="6"/>
        <v>13.874070782802761</v>
      </c>
      <c r="O35" s="13">
        <v>1997</v>
      </c>
      <c r="P35" s="952">
        <f>'Brd Link'!I42</f>
        <v>2415249.6642813412</v>
      </c>
      <c r="Q35" s="952">
        <f t="shared" si="0"/>
        <v>1</v>
      </c>
      <c r="R35" s="440" t="e">
        <f>NA()</f>
        <v>#N/A</v>
      </c>
      <c r="S35" s="414">
        <v>1364764.1503822471</v>
      </c>
      <c r="T35" s="953">
        <f t="shared" si="1"/>
        <v>1050485.5138990942</v>
      </c>
      <c r="U35" s="954">
        <f t="shared" si="2"/>
        <v>0.76971945196895097</v>
      </c>
      <c r="W35" s="966"/>
    </row>
    <row r="36" spans="1:23">
      <c r="A36" s="256">
        <v>1995</v>
      </c>
      <c r="B36" s="711">
        <f>'Brd Link'!F41</f>
        <v>443740.93051869422</v>
      </c>
      <c r="C36" s="711">
        <f>'Brd Link'!I41</f>
        <v>1989184.4640360922</v>
      </c>
      <c r="D36" s="440">
        <f t="shared" si="5"/>
        <v>13.002996181295167</v>
      </c>
      <c r="E36" s="440">
        <f t="shared" si="6"/>
        <v>14.50323529563542</v>
      </c>
      <c r="O36" s="13">
        <v>1998</v>
      </c>
      <c r="P36" s="952">
        <f>'Brd Link'!I43</f>
        <v>1112912.7648551823</v>
      </c>
      <c r="Q36" s="952">
        <f t="shared" si="0"/>
        <v>20</v>
      </c>
      <c r="R36" s="440" t="e">
        <f>NA()</f>
        <v>#N/A</v>
      </c>
      <c r="S36" s="414">
        <v>1364764.1503822471</v>
      </c>
      <c r="T36" s="953">
        <f t="shared" si="1"/>
        <v>-251851.38552706479</v>
      </c>
      <c r="U36" s="954">
        <f t="shared" si="2"/>
        <v>-0.18453839475232811</v>
      </c>
      <c r="W36" s="966"/>
    </row>
    <row r="37" spans="1:23">
      <c r="A37" s="256">
        <v>1996</v>
      </c>
      <c r="B37" s="711">
        <f>'Brd Link'!F42</f>
        <v>505425.03393203206</v>
      </c>
      <c r="C37" s="711">
        <f>'Brd Link'!I42</f>
        <v>2415249.6642813412</v>
      </c>
      <c r="D37" s="440">
        <f t="shared" si="5"/>
        <v>13.133155005618168</v>
      </c>
      <c r="E37" s="440">
        <f t="shared" si="6"/>
        <v>14.697313220380199</v>
      </c>
      <c r="O37" s="13">
        <v>1999</v>
      </c>
      <c r="P37" s="952">
        <f>'Brd Link'!I44</f>
        <v>1216630.2738301605</v>
      </c>
      <c r="Q37" s="952">
        <f t="shared" si="0"/>
        <v>17</v>
      </c>
      <c r="R37" s="440" t="e">
        <f>NA()</f>
        <v>#N/A</v>
      </c>
      <c r="S37" s="414">
        <v>1364764.1503822471</v>
      </c>
      <c r="T37" s="953">
        <f t="shared" si="1"/>
        <v>-148133.87655208656</v>
      </c>
      <c r="U37" s="954">
        <f t="shared" si="2"/>
        <v>-0.10854174071805506</v>
      </c>
    </row>
    <row r="38" spans="1:23">
      <c r="A38" s="256">
        <v>1997</v>
      </c>
      <c r="B38" s="711">
        <f>'Brd Link'!F43</f>
        <v>247453.35635972215</v>
      </c>
      <c r="C38" s="711">
        <f>'Brd Link'!I43</f>
        <v>1112912.7648551823</v>
      </c>
      <c r="D38" s="440">
        <f t="shared" si="5"/>
        <v>12.418977384077587</v>
      </c>
      <c r="E38" s="440">
        <f t="shared" si="6"/>
        <v>13.922491248798858</v>
      </c>
      <c r="O38" s="13">
        <v>2000</v>
      </c>
      <c r="P38" s="952">
        <f>'Brd Link'!I45</f>
        <v>929769.82433363562</v>
      </c>
      <c r="Q38" s="952">
        <f t="shared" si="0"/>
        <v>28</v>
      </c>
      <c r="R38" s="440" t="e">
        <f>NA()</f>
        <v>#N/A</v>
      </c>
      <c r="S38" s="414">
        <v>1364764.1503822471</v>
      </c>
      <c r="T38" s="953">
        <f t="shared" si="1"/>
        <v>-434994.32604861143</v>
      </c>
      <c r="U38" s="954">
        <f t="shared" si="2"/>
        <v>-0.31873223364401604</v>
      </c>
    </row>
    <row r="39" spans="1:23">
      <c r="A39" s="256">
        <v>1998</v>
      </c>
      <c r="B39" s="711">
        <f>'Brd Link'!F44</f>
        <v>271467.29571051238</v>
      </c>
      <c r="C39" s="711">
        <f>'Brd Link'!I44</f>
        <v>1216630.2738301605</v>
      </c>
      <c r="D39" s="440">
        <f t="shared" si="5"/>
        <v>12.511596953312337</v>
      </c>
      <c r="E39" s="440">
        <f t="shared" si="6"/>
        <v>14.011595524522779</v>
      </c>
      <c r="O39" s="13">
        <v>2001</v>
      </c>
      <c r="P39" s="952">
        <f>'Brd Link'!I46</f>
        <v>1671044.5816115239</v>
      </c>
      <c r="Q39" s="952">
        <f t="shared" si="0"/>
        <v>6</v>
      </c>
      <c r="R39" s="440" t="e">
        <f>NA()</f>
        <v>#N/A</v>
      </c>
      <c r="S39" s="414">
        <v>1364764.1503822471</v>
      </c>
      <c r="T39" s="953">
        <f t="shared" si="1"/>
        <v>306280.43122927682</v>
      </c>
      <c r="U39" s="954">
        <f t="shared" si="2"/>
        <v>0.22442004440363775</v>
      </c>
    </row>
    <row r="40" spans="1:23">
      <c r="A40" s="256">
        <v>1999</v>
      </c>
      <c r="B40" s="711">
        <f>'Brd Link'!F45</f>
        <v>219305.37513567525</v>
      </c>
      <c r="C40" s="711">
        <f>'Brd Link'!I45</f>
        <v>929769.82433363562</v>
      </c>
      <c r="D40" s="440">
        <f t="shared" si="5"/>
        <v>12.2982204445282</v>
      </c>
      <c r="E40" s="440">
        <f t="shared" si="6"/>
        <v>13.74269233377956</v>
      </c>
      <c r="O40" s="13">
        <v>2002</v>
      </c>
      <c r="P40" s="952">
        <f>'Brd Link'!I47</f>
        <v>1250886.8726059287</v>
      </c>
      <c r="Q40" s="952">
        <f t="shared" si="0"/>
        <v>16</v>
      </c>
      <c r="R40" s="440" t="e">
        <f>NA()</f>
        <v>#N/A</v>
      </c>
      <c r="S40" s="414">
        <v>1364764.1503822471</v>
      </c>
      <c r="T40" s="953">
        <f t="shared" si="1"/>
        <v>-113877.27777631837</v>
      </c>
      <c r="U40" s="954">
        <f t="shared" si="2"/>
        <v>-8.3440994361130671E-2</v>
      </c>
    </row>
    <row r="41" spans="1:23">
      <c r="A41" s="256">
        <v>2000</v>
      </c>
      <c r="B41" s="711">
        <f>'Brd Link'!F46</f>
        <v>76308.890082196463</v>
      </c>
      <c r="C41" s="711">
        <f>'Brd Link'!I46</f>
        <v>1671044.5816115239</v>
      </c>
      <c r="D41" s="440">
        <f t="shared" si="5"/>
        <v>11.24254472532397</v>
      </c>
      <c r="E41" s="440">
        <f t="shared" si="6"/>
        <v>14.32895948682159</v>
      </c>
      <c r="O41" s="13">
        <v>2003</v>
      </c>
      <c r="P41" s="952">
        <f>'Brd Link'!I48</f>
        <v>1379966.5856725546</v>
      </c>
      <c r="Q41" s="952">
        <f t="shared" si="0"/>
        <v>10</v>
      </c>
      <c r="R41" s="440" t="e">
        <f>NA()</f>
        <v>#N/A</v>
      </c>
      <c r="S41" s="414">
        <v>1364764.1503822471</v>
      </c>
      <c r="T41" s="953">
        <f t="shared" si="1"/>
        <v>15202.435290307505</v>
      </c>
      <c r="U41" s="954">
        <f t="shared" si="2"/>
        <v>1.1139239908997876E-2</v>
      </c>
    </row>
    <row r="42" spans="1:23">
      <c r="A42" s="256">
        <v>2001</v>
      </c>
      <c r="B42" s="711">
        <f>'Brd Link'!F47</f>
        <v>100643.96414584623</v>
      </c>
      <c r="C42" s="711">
        <f>'Brd Link'!I47</f>
        <v>1250886.8726059287</v>
      </c>
      <c r="D42" s="440">
        <f t="shared" si="5"/>
        <v>11.519344460525044</v>
      </c>
      <c r="E42" s="440">
        <f t="shared" si="6"/>
        <v>14.039363355788447</v>
      </c>
      <c r="O42" s="13">
        <v>2004</v>
      </c>
      <c r="P42" s="952">
        <f>'Brd Link'!I49</f>
        <v>996194.75347909459</v>
      </c>
      <c r="Q42" s="952">
        <f t="shared" si="0"/>
        <v>25</v>
      </c>
      <c r="R42" s="440" t="e">
        <f>NA()</f>
        <v>#N/A</v>
      </c>
      <c r="S42" s="414">
        <v>1364764.1503822471</v>
      </c>
      <c r="T42" s="953">
        <f t="shared" si="1"/>
        <v>-368569.39690315246</v>
      </c>
      <c r="U42" s="954">
        <f t="shared" si="2"/>
        <v>-0.27006087227593317</v>
      </c>
    </row>
    <row r="43" spans="1:23">
      <c r="A43" s="256">
        <v>2002</v>
      </c>
      <c r="B43" s="711">
        <f>'Brd Link'!F48</f>
        <v>359050.78446500207</v>
      </c>
      <c r="C43" s="711">
        <f>'Brd Link'!I48</f>
        <v>1379966.5856725546</v>
      </c>
      <c r="D43" s="440">
        <f t="shared" si="5"/>
        <v>12.791219118371064</v>
      </c>
      <c r="E43" s="440">
        <f t="shared" si="6"/>
        <v>14.137569843559483</v>
      </c>
      <c r="O43" s="13">
        <v>2005</v>
      </c>
      <c r="P43" s="952">
        <f>'Brd Link'!I50</f>
        <v>1434375.124038063</v>
      </c>
      <c r="Q43" s="952">
        <f t="shared" si="0"/>
        <v>8</v>
      </c>
      <c r="R43" s="440" t="e">
        <f>NA()</f>
        <v>#N/A</v>
      </c>
      <c r="S43" s="414">
        <v>1364764.1503822471</v>
      </c>
      <c r="T43" s="953">
        <f t="shared" si="1"/>
        <v>69610.973655815935</v>
      </c>
      <c r="U43" s="954">
        <f t="shared" si="2"/>
        <v>5.10058632741189E-2</v>
      </c>
    </row>
    <row r="44" spans="1:23">
      <c r="A44" s="256">
        <v>2003</v>
      </c>
      <c r="B44" s="711">
        <f>'Brd Link'!F49</f>
        <v>272182.51143379207</v>
      </c>
      <c r="C44" s="711">
        <f>'Brd Link'!I49</f>
        <v>996194.75347909459</v>
      </c>
      <c r="D44" s="440">
        <f t="shared" si="5"/>
        <v>12.514228118178037</v>
      </c>
      <c r="E44" s="440">
        <f t="shared" si="6"/>
        <v>13.811698053073718</v>
      </c>
      <c r="O44" s="13">
        <v>2006</v>
      </c>
      <c r="P44" s="952">
        <f>'Brd Link'!I51</f>
        <v>1472393.5551385009</v>
      </c>
      <c r="Q44" s="952">
        <f t="shared" si="0"/>
        <v>7</v>
      </c>
      <c r="R44" s="440" t="e">
        <f>NA()</f>
        <v>#N/A</v>
      </c>
      <c r="S44" s="414">
        <v>1364764.1503822471</v>
      </c>
      <c r="T44" s="953">
        <f t="shared" si="1"/>
        <v>107629.40475625382</v>
      </c>
      <c r="U44" s="954">
        <f t="shared" si="2"/>
        <v>7.886300700828687E-2</v>
      </c>
    </row>
    <row r="45" spans="1:23">
      <c r="A45" s="256">
        <v>2004</v>
      </c>
      <c r="B45" s="711">
        <f>'Brd Link'!F50</f>
        <v>501789.11599463865</v>
      </c>
      <c r="C45" s="711">
        <f>'Brd Link'!I50</f>
        <v>1434375.124038063</v>
      </c>
      <c r="D45" s="440">
        <f t="shared" si="5"/>
        <v>13.125935222752243</v>
      </c>
      <c r="E45" s="440">
        <f t="shared" si="6"/>
        <v>14.176239858706381</v>
      </c>
      <c r="O45" s="13">
        <v>2007</v>
      </c>
      <c r="P45" s="952">
        <f>'Brd Link'!I52</f>
        <v>2281728.634522045</v>
      </c>
      <c r="Q45" s="952">
        <f t="shared" si="0"/>
        <v>2</v>
      </c>
      <c r="R45" s="440" t="e">
        <f>NA()</f>
        <v>#N/A</v>
      </c>
      <c r="S45" s="414">
        <v>1364764.1503822471</v>
      </c>
      <c r="T45" s="953">
        <f t="shared" si="1"/>
        <v>916964.48413979798</v>
      </c>
      <c r="U45" s="954">
        <f t="shared" si="2"/>
        <v>0.6718849435508486</v>
      </c>
    </row>
    <row r="46" spans="1:23">
      <c r="A46" s="256">
        <v>2005</v>
      </c>
      <c r="B46" s="711">
        <f>'Brd Link'!F51</f>
        <v>258148.88316457791</v>
      </c>
      <c r="C46" s="711">
        <f>'Brd Link'!I51</f>
        <v>1472393.5551385009</v>
      </c>
      <c r="D46" s="440">
        <f t="shared" si="5"/>
        <v>12.461291763994264</v>
      </c>
      <c r="E46" s="440">
        <f t="shared" si="6"/>
        <v>14.202399903364208</v>
      </c>
      <c r="O46" s="13">
        <v>2008</v>
      </c>
      <c r="P46" s="952">
        <f>'Brd Link'!I53</f>
        <v>796157.21431067027</v>
      </c>
      <c r="Q46" s="952">
        <f t="shared" si="0"/>
        <v>34</v>
      </c>
      <c r="R46" s="440" t="e">
        <f>NA()</f>
        <v>#N/A</v>
      </c>
      <c r="S46" s="414">
        <v>1364764.1503822471</v>
      </c>
      <c r="T46" s="953">
        <f t="shared" si="1"/>
        <v>-568606.93607157678</v>
      </c>
      <c r="U46" s="954">
        <f t="shared" si="2"/>
        <v>-0.41663384542473492</v>
      </c>
    </row>
    <row r="47" spans="1:23">
      <c r="A47" s="256">
        <v>2006</v>
      </c>
      <c r="B47" s="711">
        <f>'Brd Link'!F52</f>
        <v>401156.89491228049</v>
      </c>
      <c r="C47" s="711">
        <f>'Brd Link'!I52</f>
        <v>2281728.634522045</v>
      </c>
      <c r="D47" s="440">
        <f t="shared" si="5"/>
        <v>12.90210788889968</v>
      </c>
      <c r="E47" s="440">
        <f t="shared" si="6"/>
        <v>14.640443886698622</v>
      </c>
      <c r="O47" s="13">
        <v>2009</v>
      </c>
      <c r="P47" s="952">
        <f>'Brd Link'!I54</f>
        <v>940457.62252988853</v>
      </c>
      <c r="Q47" s="952">
        <f t="shared" si="0"/>
        <v>27</v>
      </c>
      <c r="R47" s="440" t="e">
        <f>NA()</f>
        <v>#N/A</v>
      </c>
      <c r="S47" s="414">
        <v>1364764.1503822471</v>
      </c>
      <c r="T47" s="953">
        <f t="shared" si="1"/>
        <v>-424306.52785235853</v>
      </c>
      <c r="U47" s="954">
        <f t="shared" ref="U47:U51" si="7">T47/S47</f>
        <v>-0.31090099174536312</v>
      </c>
    </row>
    <row r="48" spans="1:23">
      <c r="A48" s="256">
        <v>2007</v>
      </c>
      <c r="B48" s="711">
        <f>'Brd Link'!F53</f>
        <v>144497.9544226641</v>
      </c>
      <c r="C48" s="711">
        <f>'Brd Link'!I53</f>
        <v>796157.21431067027</v>
      </c>
      <c r="D48" s="440">
        <f t="shared" si="5"/>
        <v>11.881020630189884</v>
      </c>
      <c r="E48" s="440">
        <f t="shared" si="6"/>
        <v>13.587551950740307</v>
      </c>
      <c r="O48" s="13">
        <v>2010</v>
      </c>
      <c r="P48" s="952">
        <f>'Brd Link'!I55</f>
        <v>730494.56928830943</v>
      </c>
      <c r="Q48" s="952">
        <f t="shared" si="0"/>
        <v>35</v>
      </c>
      <c r="R48" s="440" t="e">
        <f>NA()</f>
        <v>#N/A</v>
      </c>
      <c r="S48" s="414">
        <v>1364764.1503822471</v>
      </c>
      <c r="T48" s="953">
        <f t="shared" si="1"/>
        <v>-634269.58109393762</v>
      </c>
      <c r="U48" s="954">
        <f t="shared" si="7"/>
        <v>-0.46474666037812434</v>
      </c>
    </row>
    <row r="49" spans="1:22">
      <c r="A49" s="256">
        <v>2008</v>
      </c>
      <c r="B49" s="711">
        <f>'Brd Link'!F54</f>
        <v>103350.61858821202</v>
      </c>
      <c r="C49" s="711">
        <f>'Brd Link'!I54</f>
        <v>940457.62252988853</v>
      </c>
      <c r="D49" s="440">
        <f t="shared" si="5"/>
        <v>11.545882550464155</v>
      </c>
      <c r="E49" s="440">
        <f t="shared" si="6"/>
        <v>13.754121868260308</v>
      </c>
      <c r="O49" s="13">
        <v>2011</v>
      </c>
      <c r="P49" s="952">
        <f>'Brd Link'!I56</f>
        <v>1832418.5211423838</v>
      </c>
      <c r="Q49" s="952">
        <f t="shared" si="0"/>
        <v>5</v>
      </c>
      <c r="R49" s="440" t="e">
        <f>NA()</f>
        <v>#N/A</v>
      </c>
      <c r="S49" s="414">
        <v>1364764.1503822471</v>
      </c>
      <c r="T49" s="953">
        <f t="shared" si="1"/>
        <v>467654.37076013675</v>
      </c>
      <c r="U49" s="954">
        <f t="shared" si="7"/>
        <v>0.3426631411948759</v>
      </c>
    </row>
    <row r="50" spans="1:22">
      <c r="A50" s="256">
        <v>2009</v>
      </c>
      <c r="B50" s="711">
        <f>'Brd Link'!F55</f>
        <v>348675.14452879829</v>
      </c>
      <c r="C50" s="711">
        <f>'Brd Link'!I55</f>
        <v>730494.56928830943</v>
      </c>
      <c r="D50" s="440">
        <f t="shared" si="5"/>
        <v>12.761895949735445</v>
      </c>
      <c r="E50" s="440">
        <f t="shared" si="6"/>
        <v>13.501477075906118</v>
      </c>
      <c r="O50" s="13">
        <v>2012</v>
      </c>
      <c r="P50" s="952">
        <f>'Brd Link'!I57</f>
        <v>2079282.070390793</v>
      </c>
      <c r="Q50" s="952">
        <f t="shared" si="0"/>
        <v>3</v>
      </c>
      <c r="R50" s="440" t="e">
        <f>NA()</f>
        <v>#N/A</v>
      </c>
      <c r="S50" s="414">
        <v>1364764.1503822471</v>
      </c>
      <c r="T50" s="953">
        <f t="shared" si="1"/>
        <v>714517.92000854597</v>
      </c>
      <c r="U50" s="954">
        <f t="shared" si="7"/>
        <v>0.52354681195899067</v>
      </c>
    </row>
    <row r="51" spans="1:22">
      <c r="A51" s="256">
        <v>2010</v>
      </c>
      <c r="B51" s="711">
        <f>'Brd Link'!F56</f>
        <v>409775.58032286481</v>
      </c>
      <c r="C51" s="711">
        <f>'Brd Link'!I56</f>
        <v>1832418.5211423838</v>
      </c>
      <c r="D51" s="440">
        <f t="shared" si="5"/>
        <v>12.923364923755361</v>
      </c>
      <c r="E51" s="440">
        <f t="shared" si="6"/>
        <v>14.421147248530623</v>
      </c>
      <c r="O51" s="13">
        <v>2013</v>
      </c>
      <c r="P51" s="952"/>
      <c r="R51" s="952">
        <f>'Forecast by Age'!F12</f>
        <v>2263895.6102893078</v>
      </c>
      <c r="S51" s="414">
        <v>1364764.1503822471</v>
      </c>
      <c r="T51" s="953">
        <f>R51-S51</f>
        <v>899131.45990706072</v>
      </c>
      <c r="U51" s="954">
        <f t="shared" si="7"/>
        <v>0.65881819921429607</v>
      </c>
      <c r="V51" s="954">
        <f>$T51/$S51</f>
        <v>0.65881819921429607</v>
      </c>
    </row>
    <row r="52" spans="1:22">
      <c r="A52" s="256">
        <v>2011</v>
      </c>
      <c r="B52" s="711">
        <f>'Brd Link'!F57</f>
        <v>442676.75714160182</v>
      </c>
      <c r="C52" s="711">
        <f>'Brd Link'!I57</f>
        <v>2079282.070390793</v>
      </c>
      <c r="D52" s="440">
        <f t="shared" si="5"/>
        <v>13.000595114838205</v>
      </c>
      <c r="E52" s="440">
        <f t="shared" si="6"/>
        <v>14.547533233630642</v>
      </c>
      <c r="P52" s="952"/>
    </row>
    <row r="53" spans="1:22">
      <c r="A53" s="256">
        <v>2012</v>
      </c>
      <c r="B53" s="711">
        <f>'Brd Link'!F58</f>
        <v>456063.26080517849</v>
      </c>
      <c r="C53" s="711">
        <f>'Brd Link'!I58</f>
        <v>1478040.9578396173</v>
      </c>
      <c r="D53" s="440">
        <f t="shared" ref="D53" si="8">LN(B53)</f>
        <v>13.030386808710347</v>
      </c>
      <c r="E53" s="440">
        <f t="shared" ref="E53" si="9">LN(C53)</f>
        <v>14.206228091770475</v>
      </c>
      <c r="P53" s="952"/>
    </row>
    <row r="54" spans="1:22">
      <c r="A54" s="256">
        <v>2013</v>
      </c>
      <c r="B54" s="711">
        <f>'Brd Link'!F59</f>
        <v>650733.61710635398</v>
      </c>
      <c r="C54" s="711">
        <f>'Brd Link'!I59</f>
        <v>1875957.0948617512</v>
      </c>
      <c r="D54" s="440">
        <f t="shared" ref="D54" si="10">LN(B54)</f>
        <v>13.385855647136685</v>
      </c>
      <c r="E54" s="440">
        <f t="shared" ref="E54" si="11">LN(C54)</f>
        <v>14.444629537743996</v>
      </c>
      <c r="P54" s="952"/>
      <c r="Q54" s="275"/>
      <c r="S54" s="275"/>
    </row>
    <row r="55" spans="1:22">
      <c r="A55" s="256">
        <v>2014</v>
      </c>
      <c r="B55" s="711"/>
      <c r="C55" s="711"/>
      <c r="D55" s="440"/>
      <c r="E55" s="440"/>
      <c r="P55" s="275"/>
      <c r="Q55" s="275"/>
    </row>
  </sheetData>
  <mergeCells count="1">
    <mergeCell ref="W30:AF32"/>
  </mergeCells>
  <pageMargins left="0.75" right="0.75" top="0.5" bottom="0.5" header="0.5" footer="0.5"/>
  <pageSetup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T55"/>
  <sheetViews>
    <sheetView topLeftCell="A4" workbookViewId="0">
      <pane ySplit="6" topLeftCell="A10" activePane="bottomLeft" state="frozen"/>
      <selection activeCell="G168" sqref="G168"/>
      <selection pane="bottomLeft"/>
    </sheetView>
  </sheetViews>
  <sheetFormatPr defaultRowHeight="15"/>
  <sheetData>
    <row r="1" spans="1:20">
      <c r="A1" s="440" t="str">
        <f ca="1">CELL("filename",A1)</f>
        <v>O:\DCF\SALMON\FORECAST\2015\[2015_Copper River Wild Sockeye forecast_FINAL.xlsm]Charts</v>
      </c>
    </row>
    <row r="8" spans="1:20">
      <c r="M8" s="418" t="s">
        <v>23</v>
      </c>
      <c r="N8" s="418" t="s">
        <v>29</v>
      </c>
      <c r="O8" s="655"/>
      <c r="P8" s="655"/>
      <c r="Q8" s="702" t="s">
        <v>405</v>
      </c>
      <c r="R8" s="655"/>
      <c r="S8" s="655"/>
      <c r="T8" s="702" t="s">
        <v>405</v>
      </c>
    </row>
    <row r="9" spans="1:20">
      <c r="M9" s="419" t="s">
        <v>27</v>
      </c>
      <c r="N9" s="419" t="s">
        <v>27</v>
      </c>
      <c r="O9" s="701">
        <v>0.3</v>
      </c>
      <c r="P9" s="701">
        <v>1.2</v>
      </c>
      <c r="Q9" s="703" t="s">
        <v>406</v>
      </c>
      <c r="R9" s="701">
        <v>1.3</v>
      </c>
      <c r="S9" s="701">
        <v>2.2000000000000002</v>
      </c>
      <c r="T9" s="703" t="s">
        <v>407</v>
      </c>
    </row>
    <row r="10" spans="1:20">
      <c r="M10" s="816">
        <f>'Brd Tbl'!A9</f>
        <v>1962</v>
      </c>
      <c r="N10" s="816">
        <f>M10+5</f>
        <v>1967</v>
      </c>
      <c r="O10" s="820">
        <f>'Brd Tbl'!K9</f>
        <v>47693.868321127309</v>
      </c>
      <c r="P10" s="820">
        <f>'Brd Tbl'!P9</f>
        <v>102401.66367310109</v>
      </c>
      <c r="Q10" s="820">
        <f>SUM(O10:P10)</f>
        <v>150095.5319942284</v>
      </c>
      <c r="R10" s="820">
        <f>'Brd Tbl'!V9</f>
        <v>560800.76741469896</v>
      </c>
      <c r="S10" s="534">
        <f>'Brd Tbl'!AA9</f>
        <v>9730.8429891859741</v>
      </c>
      <c r="T10" s="514">
        <f>SUM(R10:S10)</f>
        <v>570531.6104038849</v>
      </c>
    </row>
    <row r="11" spans="1:20">
      <c r="M11" s="816">
        <f>'Brd Tbl'!A10</f>
        <v>1963</v>
      </c>
      <c r="N11" s="816">
        <f t="shared" ref="N11:N54" si="0">M11+5</f>
        <v>1968</v>
      </c>
      <c r="O11" s="820">
        <f>'Brd Tbl'!K10</f>
        <v>4236.0565954447939</v>
      </c>
      <c r="P11" s="820">
        <f>'Brd Tbl'!P10</f>
        <v>97592.469650151805</v>
      </c>
      <c r="Q11" s="820">
        <f t="shared" ref="Q11:Q50" si="1">SUM(O11:P11)</f>
        <v>101828.5262455966</v>
      </c>
      <c r="R11" s="820">
        <f>'Brd Tbl'!V10</f>
        <v>491920.16191207559</v>
      </c>
      <c r="S11" s="534">
        <f>'Brd Tbl'!AA10</f>
        <v>11635.393626492296</v>
      </c>
      <c r="T11" s="514">
        <f t="shared" ref="T11:T50" si="2">SUM(R11:S11)</f>
        <v>503555.55553856789</v>
      </c>
    </row>
    <row r="12" spans="1:20">
      <c r="M12" s="816">
        <f>'Brd Tbl'!A11</f>
        <v>1964</v>
      </c>
      <c r="N12" s="816">
        <f t="shared" si="0"/>
        <v>1969</v>
      </c>
      <c r="O12" s="820">
        <f>'Brd Tbl'!K11</f>
        <v>6361.0343934533639</v>
      </c>
      <c r="P12" s="820">
        <f>'Brd Tbl'!P11</f>
        <v>290718.45227450889</v>
      </c>
      <c r="Q12" s="820">
        <f t="shared" si="1"/>
        <v>297079.48666796228</v>
      </c>
      <c r="R12" s="820">
        <f>'Brd Tbl'!V11</f>
        <v>836133.8820333922</v>
      </c>
      <c r="S12" s="534">
        <f>'Brd Tbl'!AA11</f>
        <v>23028.814069610569</v>
      </c>
      <c r="T12" s="514">
        <f t="shared" si="2"/>
        <v>859162.69610300276</v>
      </c>
    </row>
    <row r="13" spans="1:20">
      <c r="M13" s="816">
        <f>'Brd Tbl'!A12</f>
        <v>1965</v>
      </c>
      <c r="N13" s="816">
        <f t="shared" si="0"/>
        <v>1970</v>
      </c>
      <c r="O13" s="820">
        <f>'Brd Tbl'!K12</f>
        <v>379.22291204008309</v>
      </c>
      <c r="P13" s="820">
        <f>'Brd Tbl'!P12</f>
        <v>386377.08528941998</v>
      </c>
      <c r="Q13" s="820">
        <f t="shared" si="1"/>
        <v>386756.30820146005</v>
      </c>
      <c r="R13" s="820">
        <f>'Brd Tbl'!V12</f>
        <v>1126848.439217363</v>
      </c>
      <c r="S13" s="534">
        <f>'Brd Tbl'!AA12</f>
        <v>25570.264338042718</v>
      </c>
      <c r="T13" s="514">
        <f t="shared" si="2"/>
        <v>1152418.7035554058</v>
      </c>
    </row>
    <row r="14" spans="1:20">
      <c r="M14" s="816">
        <f>'Brd Tbl'!A13</f>
        <v>1966</v>
      </c>
      <c r="N14" s="816">
        <f t="shared" si="0"/>
        <v>1971</v>
      </c>
      <c r="O14" s="820">
        <f>'Brd Tbl'!K13</f>
        <v>4184.0350749933223</v>
      </c>
      <c r="P14" s="820">
        <f>'Brd Tbl'!P13</f>
        <v>302159.62071066484</v>
      </c>
      <c r="Q14" s="820">
        <f t="shared" si="1"/>
        <v>306343.65578565816</v>
      </c>
      <c r="R14" s="820">
        <f>'Brd Tbl'!V13</f>
        <v>886578.61449924554</v>
      </c>
      <c r="S14" s="534">
        <f>'Brd Tbl'!AA13</f>
        <v>14517.766092942984</v>
      </c>
      <c r="T14" s="514">
        <f t="shared" si="2"/>
        <v>901096.38059218857</v>
      </c>
    </row>
    <row r="15" spans="1:20">
      <c r="M15" s="816">
        <f>'Brd Tbl'!A14</f>
        <v>1967</v>
      </c>
      <c r="N15" s="816">
        <f t="shared" si="0"/>
        <v>1972</v>
      </c>
      <c r="O15" s="820">
        <f>'Brd Tbl'!K14</f>
        <v>2323.2100230410065</v>
      </c>
      <c r="P15" s="820">
        <f>'Brd Tbl'!P14</f>
        <v>97321.711125474932</v>
      </c>
      <c r="Q15" s="820">
        <f t="shared" si="1"/>
        <v>99644.921148515932</v>
      </c>
      <c r="R15" s="820">
        <f>'Brd Tbl'!V14</f>
        <v>707854.19432154007</v>
      </c>
      <c r="S15" s="534">
        <f>'Brd Tbl'!AA14</f>
        <v>8920.9067780155819</v>
      </c>
      <c r="T15" s="514">
        <f t="shared" si="2"/>
        <v>716775.10109955561</v>
      </c>
    </row>
    <row r="16" spans="1:20">
      <c r="M16" s="816">
        <f>'Brd Tbl'!A15</f>
        <v>1968</v>
      </c>
      <c r="N16" s="816">
        <f t="shared" si="0"/>
        <v>1973</v>
      </c>
      <c r="O16" s="820">
        <f>'Brd Tbl'!K15</f>
        <v>17573.119769802408</v>
      </c>
      <c r="P16" s="820">
        <f>'Brd Tbl'!P15</f>
        <v>145881.52486171451</v>
      </c>
      <c r="Q16" s="820">
        <f t="shared" si="1"/>
        <v>163454.64463151692</v>
      </c>
      <c r="R16" s="820">
        <f>'Brd Tbl'!V15</f>
        <v>592986.4878251045</v>
      </c>
      <c r="S16" s="534">
        <f>'Brd Tbl'!AA15</f>
        <v>14396.979946877575</v>
      </c>
      <c r="T16" s="514">
        <f t="shared" si="2"/>
        <v>607383.46777198208</v>
      </c>
    </row>
    <row r="17" spans="13:20">
      <c r="M17" s="816">
        <f>'Brd Tbl'!A16</f>
        <v>1969</v>
      </c>
      <c r="N17" s="816">
        <f t="shared" si="0"/>
        <v>1974</v>
      </c>
      <c r="O17" s="820">
        <f>'Brd Tbl'!K16</f>
        <v>25478.999999999985</v>
      </c>
      <c r="P17" s="820">
        <f>'Brd Tbl'!P16</f>
        <v>101514.29846521815</v>
      </c>
      <c r="Q17" s="820">
        <f t="shared" si="1"/>
        <v>126993.29846521813</v>
      </c>
      <c r="R17" s="820">
        <f>'Brd Tbl'!V16</f>
        <v>638486.34876982134</v>
      </c>
      <c r="S17" s="534">
        <f>'Brd Tbl'!AA16</f>
        <v>43304.50790418018</v>
      </c>
      <c r="T17" s="514">
        <f t="shared" si="2"/>
        <v>681790.85667400155</v>
      </c>
    </row>
    <row r="18" spans="13:20">
      <c r="M18" s="816">
        <f>'Brd Tbl'!A17</f>
        <v>1970</v>
      </c>
      <c r="N18" s="816">
        <f t="shared" si="0"/>
        <v>1975</v>
      </c>
      <c r="O18" s="820">
        <f>'Brd Tbl'!K17</f>
        <v>7081.0682034509573</v>
      </c>
      <c r="P18" s="820">
        <f>'Brd Tbl'!P17</f>
        <v>83934.462420078504</v>
      </c>
      <c r="Q18" s="820">
        <f t="shared" si="1"/>
        <v>91015.530623529456</v>
      </c>
      <c r="R18" s="820">
        <f>'Brd Tbl'!V17</f>
        <v>346614.00262167363</v>
      </c>
      <c r="S18" s="534">
        <f>'Brd Tbl'!AA17</f>
        <v>15225.522652573043</v>
      </c>
      <c r="T18" s="514">
        <f t="shared" si="2"/>
        <v>361839.5252742467</v>
      </c>
    </row>
    <row r="19" spans="13:20">
      <c r="M19" s="816">
        <f>'Brd Tbl'!A18</f>
        <v>1971</v>
      </c>
      <c r="N19" s="816">
        <f t="shared" si="0"/>
        <v>1976</v>
      </c>
      <c r="O19" s="820">
        <f>'Brd Tbl'!K18</f>
        <v>3273.3156656187944</v>
      </c>
      <c r="P19" s="820">
        <f>'Brd Tbl'!P18</f>
        <v>48348.917227885802</v>
      </c>
      <c r="Q19" s="820">
        <f t="shared" si="1"/>
        <v>51622.232893504595</v>
      </c>
      <c r="R19" s="820">
        <f>'Brd Tbl'!V18</f>
        <v>940919.76351097296</v>
      </c>
      <c r="S19" s="534">
        <f>'Brd Tbl'!AA18</f>
        <v>9694.0864151689784</v>
      </c>
      <c r="T19" s="514">
        <f t="shared" si="2"/>
        <v>950613.84992614191</v>
      </c>
    </row>
    <row r="20" spans="13:20">
      <c r="M20" s="816">
        <f>'Brd Tbl'!A19</f>
        <v>1972</v>
      </c>
      <c r="N20" s="816">
        <f t="shared" si="0"/>
        <v>1977</v>
      </c>
      <c r="O20" s="820">
        <f>'Brd Tbl'!K19</f>
        <v>12447.849019260784</v>
      </c>
      <c r="P20" s="820">
        <f>'Brd Tbl'!P19</f>
        <v>140037.97254138521</v>
      </c>
      <c r="Q20" s="820">
        <f t="shared" si="1"/>
        <v>152485.821560646</v>
      </c>
      <c r="R20" s="820">
        <f>'Brd Tbl'!V19</f>
        <v>846188.38728043251</v>
      </c>
      <c r="S20" s="534">
        <f>'Brd Tbl'!AA19</f>
        <v>7117.1684145828576</v>
      </c>
      <c r="T20" s="514">
        <f t="shared" si="2"/>
        <v>853305.55569501536</v>
      </c>
    </row>
    <row r="21" spans="13:20">
      <c r="M21" s="816">
        <f>'Brd Tbl'!A20</f>
        <v>1973</v>
      </c>
      <c r="N21" s="816">
        <f t="shared" si="0"/>
        <v>1978</v>
      </c>
      <c r="O21" s="820">
        <f>'Brd Tbl'!K20</f>
        <v>27374.099996765071</v>
      </c>
      <c r="P21" s="820">
        <f>'Brd Tbl'!P20</f>
        <v>30330.912651635219</v>
      </c>
      <c r="Q21" s="820">
        <f t="shared" si="1"/>
        <v>57705.01264840029</v>
      </c>
      <c r="R21" s="820">
        <f>'Brd Tbl'!V20</f>
        <v>297364.96532358415</v>
      </c>
      <c r="S21" s="534">
        <f>'Brd Tbl'!AA20</f>
        <v>18712.741107786904</v>
      </c>
      <c r="T21" s="514">
        <f t="shared" si="2"/>
        <v>316077.70643137104</v>
      </c>
    </row>
    <row r="22" spans="13:20">
      <c r="M22" s="816">
        <f>'Brd Tbl'!A21</f>
        <v>1974</v>
      </c>
      <c r="N22" s="816">
        <f t="shared" si="0"/>
        <v>1979</v>
      </c>
      <c r="O22" s="820">
        <f>'Brd Tbl'!K21</f>
        <v>7173.3894483794302</v>
      </c>
      <c r="P22" s="820">
        <f>'Brd Tbl'!P21</f>
        <v>154457.91935439411</v>
      </c>
      <c r="Q22" s="820">
        <f t="shared" si="1"/>
        <v>161631.30880277354</v>
      </c>
      <c r="R22" s="820">
        <f>'Brd Tbl'!V21</f>
        <v>442734.39909796033</v>
      </c>
      <c r="S22" s="534">
        <f>'Brd Tbl'!AA21</f>
        <v>19045.427762092004</v>
      </c>
      <c r="T22" s="514">
        <f t="shared" si="2"/>
        <v>461779.8268600523</v>
      </c>
    </row>
    <row r="23" spans="13:20">
      <c r="M23" s="816">
        <f>'Brd Tbl'!A22</f>
        <v>1975</v>
      </c>
      <c r="N23" s="816">
        <f t="shared" si="0"/>
        <v>1980</v>
      </c>
      <c r="O23" s="820">
        <f>'Brd Tbl'!K22</f>
        <v>10490.596275512966</v>
      </c>
      <c r="P23" s="820">
        <f>'Brd Tbl'!P22</f>
        <v>68722.812745743839</v>
      </c>
      <c r="Q23" s="820">
        <f t="shared" si="1"/>
        <v>79213.409021256812</v>
      </c>
      <c r="R23" s="820">
        <f>'Brd Tbl'!V22</f>
        <v>410835.62987088464</v>
      </c>
      <c r="S23" s="534">
        <f>'Brd Tbl'!AA22</f>
        <v>30063.059247625344</v>
      </c>
      <c r="T23" s="514">
        <f t="shared" si="2"/>
        <v>440898.68911851</v>
      </c>
    </row>
    <row r="24" spans="13:20">
      <c r="M24" s="816">
        <f>'Brd Tbl'!A23</f>
        <v>1976</v>
      </c>
      <c r="N24" s="816">
        <f t="shared" si="0"/>
        <v>1981</v>
      </c>
      <c r="O24" s="820">
        <f>'Brd Tbl'!K23</f>
        <v>5360.6418899380178</v>
      </c>
      <c r="P24" s="820">
        <f>'Brd Tbl'!P23</f>
        <v>173715.68474284798</v>
      </c>
      <c r="Q24" s="820">
        <f t="shared" si="1"/>
        <v>179076.32663278599</v>
      </c>
      <c r="R24" s="820">
        <f>'Brd Tbl'!V23</f>
        <v>897075.92530656559</v>
      </c>
      <c r="S24" s="534">
        <f>'Brd Tbl'!AA23</f>
        <v>11995.13963887812</v>
      </c>
      <c r="T24" s="514">
        <f t="shared" si="2"/>
        <v>909071.06494544377</v>
      </c>
    </row>
    <row r="25" spans="13:20">
      <c r="M25" s="816">
        <f>'Brd Tbl'!A24</f>
        <v>1977</v>
      </c>
      <c r="N25" s="816">
        <f t="shared" si="0"/>
        <v>1982</v>
      </c>
      <c r="O25" s="820">
        <f>'Brd Tbl'!K24</f>
        <v>206574.75022171927</v>
      </c>
      <c r="P25" s="820">
        <f>'Brd Tbl'!P24</f>
        <v>135148.94242353513</v>
      </c>
      <c r="Q25" s="820">
        <f t="shared" si="1"/>
        <v>341723.69264525443</v>
      </c>
      <c r="R25" s="820">
        <f>'Brd Tbl'!V24</f>
        <v>1351823.9406582871</v>
      </c>
      <c r="S25" s="534">
        <f>'Brd Tbl'!AA24</f>
        <v>25753.29183741381</v>
      </c>
      <c r="T25" s="514">
        <f t="shared" si="2"/>
        <v>1377577.2324957009</v>
      </c>
    </row>
    <row r="26" spans="13:20">
      <c r="M26" s="816">
        <f>'Brd Tbl'!A25</f>
        <v>1978</v>
      </c>
      <c r="N26" s="816">
        <f t="shared" si="0"/>
        <v>1983</v>
      </c>
      <c r="O26" s="820">
        <f>'Brd Tbl'!K25</f>
        <v>49451.536070921153</v>
      </c>
      <c r="P26" s="820">
        <f>'Brd Tbl'!P25</f>
        <v>359995.48750384717</v>
      </c>
      <c r="Q26" s="820">
        <f t="shared" si="1"/>
        <v>409447.02357476833</v>
      </c>
      <c r="R26" s="820">
        <f>'Brd Tbl'!V25</f>
        <v>817109.74979398493</v>
      </c>
      <c r="S26" s="534">
        <f>'Brd Tbl'!AA25</f>
        <v>30862.418481763816</v>
      </c>
      <c r="T26" s="514">
        <f t="shared" si="2"/>
        <v>847972.16827574873</v>
      </c>
    </row>
    <row r="27" spans="13:20">
      <c r="M27" s="816">
        <f>'Brd Tbl'!A26</f>
        <v>1979</v>
      </c>
      <c r="N27" s="816">
        <f t="shared" si="0"/>
        <v>1984</v>
      </c>
      <c r="O27" s="820">
        <f>'Brd Tbl'!K26</f>
        <v>81377.595887697578</v>
      </c>
      <c r="P27" s="820">
        <f>'Brd Tbl'!P26</f>
        <v>346502.19282529014</v>
      </c>
      <c r="Q27" s="820">
        <f t="shared" si="1"/>
        <v>427879.78871298773</v>
      </c>
      <c r="R27" s="820">
        <f>'Brd Tbl'!V26</f>
        <v>1424421.7932741994</v>
      </c>
      <c r="S27" s="534">
        <f>'Brd Tbl'!AA26</f>
        <v>16495.369513287449</v>
      </c>
      <c r="T27" s="514">
        <f t="shared" si="2"/>
        <v>1440917.1627874868</v>
      </c>
    </row>
    <row r="28" spans="13:20">
      <c r="M28" s="816">
        <f>'Brd Tbl'!A27</f>
        <v>1980</v>
      </c>
      <c r="N28" s="816">
        <f t="shared" si="0"/>
        <v>1985</v>
      </c>
      <c r="O28" s="820">
        <f>'Brd Tbl'!K27</f>
        <v>17078.08927074348</v>
      </c>
      <c r="P28" s="820">
        <f>'Brd Tbl'!P27</f>
        <v>203458.33386630402</v>
      </c>
      <c r="Q28" s="820">
        <f t="shared" si="1"/>
        <v>220536.4231370475</v>
      </c>
      <c r="R28" s="820">
        <f>'Brd Tbl'!V27</f>
        <v>1044206.836082815</v>
      </c>
      <c r="S28" s="534">
        <f>'Brd Tbl'!AA27</f>
        <v>26421.811721019738</v>
      </c>
      <c r="T28" s="514">
        <f t="shared" si="2"/>
        <v>1070628.6478038346</v>
      </c>
    </row>
    <row r="29" spans="13:20">
      <c r="M29" s="816">
        <f>'Brd Tbl'!A28</f>
        <v>1981</v>
      </c>
      <c r="N29" s="816">
        <f t="shared" si="0"/>
        <v>1986</v>
      </c>
      <c r="O29" s="820">
        <f>'Brd Tbl'!K28</f>
        <v>117912.62915245809</v>
      </c>
      <c r="P29" s="820">
        <f>'Brd Tbl'!P28</f>
        <v>157083.49997006214</v>
      </c>
      <c r="Q29" s="820">
        <f t="shared" si="1"/>
        <v>274996.12912252021</v>
      </c>
      <c r="R29" s="820">
        <f>'Brd Tbl'!V28</f>
        <v>729707.86718836357</v>
      </c>
      <c r="S29" s="534">
        <f>'Brd Tbl'!AA28</f>
        <v>8621.2592318647967</v>
      </c>
      <c r="T29" s="514">
        <f t="shared" si="2"/>
        <v>738329.12642022839</v>
      </c>
    </row>
    <row r="30" spans="13:20">
      <c r="M30" s="816">
        <f>'Brd Tbl'!A29</f>
        <v>1982</v>
      </c>
      <c r="N30" s="816">
        <f t="shared" si="0"/>
        <v>1987</v>
      </c>
      <c r="O30" s="820">
        <f>'Brd Tbl'!K29</f>
        <v>130462.91282755243</v>
      </c>
      <c r="P30" s="820">
        <f>'Brd Tbl'!P29</f>
        <v>292198.40738779912</v>
      </c>
      <c r="Q30" s="820">
        <f t="shared" si="1"/>
        <v>422661.32021535153</v>
      </c>
      <c r="R30" s="820">
        <f>'Brd Tbl'!V29</f>
        <v>1361112.3412895144</v>
      </c>
      <c r="S30" s="534">
        <f>'Brd Tbl'!AA29</f>
        <v>11104.369441085768</v>
      </c>
      <c r="T30" s="514">
        <f t="shared" si="2"/>
        <v>1372216.7107306002</v>
      </c>
    </row>
    <row r="31" spans="13:20">
      <c r="M31" s="816">
        <f>'Brd Tbl'!A30</f>
        <v>1983</v>
      </c>
      <c r="N31" s="816">
        <f t="shared" si="0"/>
        <v>1988</v>
      </c>
      <c r="O31" s="820">
        <f>'Brd Tbl'!K30</f>
        <v>121863.40619494946</v>
      </c>
      <c r="P31" s="820">
        <f>'Brd Tbl'!P30</f>
        <v>113889.25746653602</v>
      </c>
      <c r="Q31" s="820">
        <f t="shared" si="1"/>
        <v>235752.66366148548</v>
      </c>
      <c r="R31" s="820">
        <f>'Brd Tbl'!V30</f>
        <v>536879.18023254443</v>
      </c>
      <c r="S31" s="534">
        <f>'Brd Tbl'!AA30</f>
        <v>19073.9255672049</v>
      </c>
      <c r="T31" s="514">
        <f t="shared" si="2"/>
        <v>555953.10579974938</v>
      </c>
    </row>
    <row r="32" spans="13:20">
      <c r="M32" s="816">
        <f>'Brd Tbl'!A31</f>
        <v>1984</v>
      </c>
      <c r="N32" s="816">
        <f t="shared" si="0"/>
        <v>1989</v>
      </c>
      <c r="O32" s="820">
        <f>'Brd Tbl'!K31</f>
        <v>95723.898052422024</v>
      </c>
      <c r="P32" s="820">
        <f>'Brd Tbl'!P31</f>
        <v>294557.28228182066</v>
      </c>
      <c r="Q32" s="820">
        <f t="shared" si="1"/>
        <v>390281.1803342427</v>
      </c>
      <c r="R32" s="820">
        <f>'Brd Tbl'!V31</f>
        <v>1012944.0742998301</v>
      </c>
      <c r="S32" s="534">
        <f>'Brd Tbl'!AA31</f>
        <v>19878.74078424929</v>
      </c>
      <c r="T32" s="514">
        <f t="shared" si="2"/>
        <v>1032822.8150840794</v>
      </c>
    </row>
    <row r="33" spans="13:20">
      <c r="M33" s="816">
        <f>'Brd Tbl'!A32</f>
        <v>1985</v>
      </c>
      <c r="N33" s="816">
        <f t="shared" si="0"/>
        <v>1990</v>
      </c>
      <c r="O33" s="820">
        <f>'Brd Tbl'!K32</f>
        <v>56813.475648974505</v>
      </c>
      <c r="P33" s="820">
        <f>'Brd Tbl'!P32</f>
        <v>240741.58041960336</v>
      </c>
      <c r="Q33" s="820">
        <f t="shared" si="1"/>
        <v>297555.05606857786</v>
      </c>
      <c r="R33" s="820">
        <f>'Brd Tbl'!V32</f>
        <v>641426.45512191299</v>
      </c>
      <c r="S33" s="534">
        <f>'Brd Tbl'!AA32</f>
        <v>65724.31340851204</v>
      </c>
      <c r="T33" s="514">
        <f t="shared" si="2"/>
        <v>707150.76853042503</v>
      </c>
    </row>
    <row r="34" spans="13:20">
      <c r="M34" s="816">
        <f>'Brd Tbl'!A33</f>
        <v>1986</v>
      </c>
      <c r="N34" s="816">
        <f t="shared" si="0"/>
        <v>1991</v>
      </c>
      <c r="O34" s="820">
        <f>'Brd Tbl'!K33</f>
        <v>235241.49387653868</v>
      </c>
      <c r="P34" s="820">
        <f>'Brd Tbl'!P33</f>
        <v>283682.55642391811</v>
      </c>
      <c r="Q34" s="820">
        <f t="shared" si="1"/>
        <v>518924.05030045682</v>
      </c>
      <c r="R34" s="820">
        <f>'Brd Tbl'!V33</f>
        <v>1292395.1381037389</v>
      </c>
      <c r="S34" s="534">
        <f>'Brd Tbl'!AA33</f>
        <v>6223.2490000000007</v>
      </c>
      <c r="T34" s="514">
        <f t="shared" si="2"/>
        <v>1298618.387103739</v>
      </c>
    </row>
    <row r="35" spans="13:20">
      <c r="M35" s="816">
        <f>'Brd Tbl'!A34</f>
        <v>1987</v>
      </c>
      <c r="N35" s="816">
        <f t="shared" si="0"/>
        <v>1992</v>
      </c>
      <c r="O35" s="820">
        <f>'Brd Tbl'!K34</f>
        <v>159648.33487453967</v>
      </c>
      <c r="P35" s="820">
        <f>'Brd Tbl'!P34</f>
        <v>229875.14425105081</v>
      </c>
      <c r="Q35" s="820">
        <f t="shared" si="1"/>
        <v>389523.47912559047</v>
      </c>
      <c r="R35" s="820">
        <f>'Brd Tbl'!V34</f>
        <v>1075295.1477904324</v>
      </c>
      <c r="S35" s="534">
        <f>'Brd Tbl'!AA34</f>
        <v>24623.524510714233</v>
      </c>
      <c r="T35" s="514">
        <f t="shared" si="2"/>
        <v>1099918.6723011467</v>
      </c>
    </row>
    <row r="36" spans="13:20">
      <c r="M36" s="816">
        <f>'Brd Tbl'!A35</f>
        <v>1988</v>
      </c>
      <c r="N36" s="816">
        <f t="shared" si="0"/>
        <v>1993</v>
      </c>
      <c r="O36" s="820">
        <f>'Brd Tbl'!K35</f>
        <v>88769.186810595143</v>
      </c>
      <c r="P36" s="820">
        <f>'Brd Tbl'!P35</f>
        <v>237957.34811608869</v>
      </c>
      <c r="Q36" s="820">
        <f t="shared" si="1"/>
        <v>326726.53492668382</v>
      </c>
      <c r="R36" s="820">
        <f>'Brd Tbl'!V35</f>
        <v>1329979.1552080857</v>
      </c>
      <c r="S36" s="534">
        <f>'Brd Tbl'!AA35</f>
        <v>20190.383640854685</v>
      </c>
      <c r="T36" s="514">
        <f t="shared" si="2"/>
        <v>1350169.5388489403</v>
      </c>
    </row>
    <row r="37" spans="13:20">
      <c r="M37" s="816">
        <f>'Brd Tbl'!A36</f>
        <v>1989</v>
      </c>
      <c r="N37" s="816">
        <f t="shared" si="0"/>
        <v>1994</v>
      </c>
      <c r="O37" s="820">
        <f>'Brd Tbl'!K36</f>
        <v>240612.912267554</v>
      </c>
      <c r="P37" s="820">
        <f>'Brd Tbl'!P36</f>
        <v>249913.77094685714</v>
      </c>
      <c r="Q37" s="820">
        <f t="shared" si="1"/>
        <v>490526.68321441114</v>
      </c>
      <c r="R37" s="820">
        <f>'Brd Tbl'!V36</f>
        <v>1332570.2372110838</v>
      </c>
      <c r="S37" s="534">
        <f>'Brd Tbl'!AA36</f>
        <v>14957.721014573575</v>
      </c>
      <c r="T37" s="514">
        <f t="shared" si="2"/>
        <v>1347527.9582256572</v>
      </c>
    </row>
    <row r="38" spans="13:20">
      <c r="M38" s="816">
        <f>'Brd Tbl'!A37</f>
        <v>1990</v>
      </c>
      <c r="N38" s="816">
        <f t="shared" si="0"/>
        <v>1995</v>
      </c>
      <c r="O38" s="820">
        <f>'Brd Tbl'!K37</f>
        <v>175886.78090249607</v>
      </c>
      <c r="P38" s="820">
        <f>'Brd Tbl'!P37</f>
        <v>210751.78888782303</v>
      </c>
      <c r="Q38" s="820">
        <f t="shared" si="1"/>
        <v>386638.56979031907</v>
      </c>
      <c r="R38" s="820">
        <f>'Brd Tbl'!V37</f>
        <v>1060308.8407004261</v>
      </c>
      <c r="S38" s="534">
        <f>'Brd Tbl'!AA37</f>
        <v>39127.59074684744</v>
      </c>
      <c r="T38" s="514">
        <f t="shared" si="2"/>
        <v>1099436.4314472736</v>
      </c>
    </row>
    <row r="39" spans="13:20">
      <c r="M39" s="816">
        <f>'Brd Tbl'!A38</f>
        <v>1991</v>
      </c>
      <c r="N39" s="816">
        <f t="shared" si="0"/>
        <v>1996</v>
      </c>
      <c r="O39" s="820">
        <f>'Brd Tbl'!K38</f>
        <v>93387.974354544465</v>
      </c>
      <c r="P39" s="820">
        <f>'Brd Tbl'!P38</f>
        <v>443740.93051869422</v>
      </c>
      <c r="Q39" s="820">
        <f t="shared" si="1"/>
        <v>537128.90487323864</v>
      </c>
      <c r="R39" s="820">
        <f>'Brd Tbl'!V38</f>
        <v>1989184.4640360922</v>
      </c>
      <c r="S39" s="534">
        <f>'Brd Tbl'!AA38</f>
        <v>53524.136196909734</v>
      </c>
      <c r="T39" s="514">
        <f t="shared" si="2"/>
        <v>2042708.6002330019</v>
      </c>
    </row>
    <row r="40" spans="13:20">
      <c r="M40" s="816">
        <f>'Brd Tbl'!A39</f>
        <v>1992</v>
      </c>
      <c r="N40" s="816">
        <f t="shared" si="0"/>
        <v>1997</v>
      </c>
      <c r="O40" s="820">
        <f>'Brd Tbl'!K39</f>
        <v>112579.81465782334</v>
      </c>
      <c r="P40" s="820">
        <f>'Brd Tbl'!P39</f>
        <v>505425.03393203206</v>
      </c>
      <c r="Q40" s="820">
        <f t="shared" si="1"/>
        <v>618004.84858985536</v>
      </c>
      <c r="R40" s="820">
        <f>'Brd Tbl'!V39</f>
        <v>2415249.6642813412</v>
      </c>
      <c r="S40" s="534">
        <f>'Brd Tbl'!AA39</f>
        <v>26864.069337716079</v>
      </c>
      <c r="T40" s="514">
        <f t="shared" si="2"/>
        <v>2442113.7336190571</v>
      </c>
    </row>
    <row r="41" spans="13:20">
      <c r="M41" s="816">
        <f>'Brd Tbl'!A40</f>
        <v>1993</v>
      </c>
      <c r="N41" s="816">
        <f t="shared" si="0"/>
        <v>1998</v>
      </c>
      <c r="O41" s="820">
        <f>'Brd Tbl'!K40</f>
        <v>802613.36083504581</v>
      </c>
      <c r="P41" s="820">
        <f>'Brd Tbl'!P40</f>
        <v>247453.35635972215</v>
      </c>
      <c r="Q41" s="820">
        <f t="shared" si="1"/>
        <v>1050066.7171947679</v>
      </c>
      <c r="R41" s="820">
        <f>'Brd Tbl'!V40</f>
        <v>1112912.7648551823</v>
      </c>
      <c r="S41" s="534">
        <f>'Brd Tbl'!AA40</f>
        <v>19013.145383823394</v>
      </c>
      <c r="T41" s="514">
        <f t="shared" si="2"/>
        <v>1131925.9102390057</v>
      </c>
    </row>
    <row r="42" spans="13:20">
      <c r="M42" s="816">
        <f>'Brd Tbl'!A41</f>
        <v>1994</v>
      </c>
      <c r="N42" s="816">
        <f t="shared" si="0"/>
        <v>1999</v>
      </c>
      <c r="O42" s="820">
        <f>'Brd Tbl'!K41</f>
        <v>112668.45951798014</v>
      </c>
      <c r="P42" s="820">
        <f>'Brd Tbl'!P41</f>
        <v>271467.29571051238</v>
      </c>
      <c r="Q42" s="820">
        <f t="shared" si="1"/>
        <v>384135.75522849255</v>
      </c>
      <c r="R42" s="820">
        <f>'Brd Tbl'!V41</f>
        <v>1216630.2738301605</v>
      </c>
      <c r="S42" s="534">
        <f>'Brd Tbl'!AA41</f>
        <v>34901.570572334043</v>
      </c>
      <c r="T42" s="514">
        <f t="shared" si="2"/>
        <v>1251531.8444024946</v>
      </c>
    </row>
    <row r="43" spans="13:20">
      <c r="M43" s="816">
        <f>'Brd Tbl'!A42</f>
        <v>1995</v>
      </c>
      <c r="N43" s="816">
        <f t="shared" si="0"/>
        <v>2000</v>
      </c>
      <c r="O43" s="820">
        <f>'Brd Tbl'!K42</f>
        <v>101731.50132165727</v>
      </c>
      <c r="P43" s="820">
        <f>'Brd Tbl'!P42</f>
        <v>219305.37513567525</v>
      </c>
      <c r="Q43" s="820">
        <f t="shared" si="1"/>
        <v>321036.87645733252</v>
      </c>
      <c r="R43" s="820">
        <f>'Brd Tbl'!V42</f>
        <v>929769.82433363562</v>
      </c>
      <c r="S43" s="534">
        <f>'Brd Tbl'!AA42</f>
        <v>8999.5141323048283</v>
      </c>
      <c r="T43" s="514">
        <f t="shared" si="2"/>
        <v>938769.33846594044</v>
      </c>
    </row>
    <row r="44" spans="13:20">
      <c r="M44" s="816">
        <f>'Brd Tbl'!A43</f>
        <v>1996</v>
      </c>
      <c r="N44" s="816">
        <f t="shared" si="0"/>
        <v>2001</v>
      </c>
      <c r="O44" s="820">
        <f>'Brd Tbl'!K43</f>
        <v>66093.124069894606</v>
      </c>
      <c r="P44" s="820">
        <f>'Brd Tbl'!P43</f>
        <v>76308.890082196463</v>
      </c>
      <c r="Q44" s="820">
        <f t="shared" si="1"/>
        <v>142402.01415209105</v>
      </c>
      <c r="R44" s="820">
        <f>'Brd Tbl'!V43</f>
        <v>1671044.5816115239</v>
      </c>
      <c r="S44" s="534">
        <f>'Brd Tbl'!AA43</f>
        <v>7578.3818475354037</v>
      </c>
      <c r="T44" s="514">
        <f t="shared" si="2"/>
        <v>1678622.9634590594</v>
      </c>
    </row>
    <row r="45" spans="13:20">
      <c r="M45" s="816">
        <f>'Brd Tbl'!A44</f>
        <v>1997</v>
      </c>
      <c r="N45" s="816">
        <f t="shared" si="0"/>
        <v>2002</v>
      </c>
      <c r="O45" s="820">
        <f>'Brd Tbl'!K44</f>
        <v>160819.07519867778</v>
      </c>
      <c r="P45" s="820">
        <f>'Brd Tbl'!P44</f>
        <v>100643.96414584623</v>
      </c>
      <c r="Q45" s="820">
        <f t="shared" si="1"/>
        <v>261463.039344524</v>
      </c>
      <c r="R45" s="820">
        <f>'Brd Tbl'!V44</f>
        <v>1250886.8726059287</v>
      </c>
      <c r="S45" s="534">
        <f>'Brd Tbl'!AA44</f>
        <v>11107.647851674847</v>
      </c>
      <c r="T45" s="514">
        <f t="shared" si="2"/>
        <v>1261994.5204576035</v>
      </c>
    </row>
    <row r="46" spans="13:20">
      <c r="M46" s="816">
        <f>'Brd Tbl'!A45</f>
        <v>1998</v>
      </c>
      <c r="N46" s="816">
        <f t="shared" si="0"/>
        <v>2003</v>
      </c>
      <c r="O46" s="820">
        <f>'Brd Tbl'!K45</f>
        <v>56834.22212716884</v>
      </c>
      <c r="P46" s="820">
        <f>'Brd Tbl'!P45</f>
        <v>359050.78446500207</v>
      </c>
      <c r="Q46" s="820">
        <f t="shared" si="1"/>
        <v>415885.00659217092</v>
      </c>
      <c r="R46" s="820">
        <f>'Brd Tbl'!V45</f>
        <v>1379966.5856725546</v>
      </c>
      <c r="S46" s="534">
        <f>'Brd Tbl'!AA45</f>
        <v>13313.228626265411</v>
      </c>
      <c r="T46" s="514">
        <f t="shared" si="2"/>
        <v>1393279.81429882</v>
      </c>
    </row>
    <row r="47" spans="13:20">
      <c r="M47" s="816">
        <f>'Brd Tbl'!A46</f>
        <v>1999</v>
      </c>
      <c r="N47" s="816">
        <f t="shared" si="0"/>
        <v>2004</v>
      </c>
      <c r="O47" s="820">
        <f>'Brd Tbl'!K46</f>
        <v>71103.192868462647</v>
      </c>
      <c r="P47" s="820">
        <f>'Brd Tbl'!P46</f>
        <v>272182.51143379207</v>
      </c>
      <c r="Q47" s="820">
        <f t="shared" si="1"/>
        <v>343285.70430225472</v>
      </c>
      <c r="R47" s="820">
        <f>'Brd Tbl'!V46</f>
        <v>996194.75347909459</v>
      </c>
      <c r="S47" s="534">
        <f>'Brd Tbl'!AA46</f>
        <v>71780.774099935923</v>
      </c>
      <c r="T47" s="514">
        <f t="shared" si="2"/>
        <v>1067975.5275790305</v>
      </c>
    </row>
    <row r="48" spans="13:20">
      <c r="M48" s="816">
        <f>'Brd Tbl'!A47</f>
        <v>2000</v>
      </c>
      <c r="N48" s="816">
        <f t="shared" si="0"/>
        <v>2005</v>
      </c>
      <c r="O48" s="820">
        <f>'Brd Tbl'!K47</f>
        <v>97651.540500728544</v>
      </c>
      <c r="P48" s="820">
        <f>'Brd Tbl'!P47</f>
        <v>501789.11599463865</v>
      </c>
      <c r="Q48" s="820">
        <f t="shared" si="1"/>
        <v>599440.65649536718</v>
      </c>
      <c r="R48" s="820">
        <f>'Brd Tbl'!V47</f>
        <v>1434375.124038063</v>
      </c>
      <c r="S48" s="534">
        <f>'Brd Tbl'!AA47</f>
        <v>48395.186096710058</v>
      </c>
      <c r="T48" s="514">
        <f t="shared" si="2"/>
        <v>1482770.3101347731</v>
      </c>
    </row>
    <row r="49" spans="13:20">
      <c r="M49" s="816">
        <f>'Brd Tbl'!A48</f>
        <v>2001</v>
      </c>
      <c r="N49" s="816">
        <f t="shared" si="0"/>
        <v>2006</v>
      </c>
      <c r="O49" s="820">
        <f>'Brd Tbl'!K48</f>
        <v>132236.79661882488</v>
      </c>
      <c r="P49" s="820">
        <f>'Brd Tbl'!P48</f>
        <v>258148.88316457791</v>
      </c>
      <c r="Q49" s="820">
        <f t="shared" si="1"/>
        <v>390385.67978340283</v>
      </c>
      <c r="R49" s="820">
        <f>'Brd Tbl'!V48</f>
        <v>1472393.5551385009</v>
      </c>
      <c r="S49" s="534">
        <f>'Brd Tbl'!AA48</f>
        <v>58197.772436206709</v>
      </c>
      <c r="T49" s="514">
        <f t="shared" si="2"/>
        <v>1530591.3275747076</v>
      </c>
    </row>
    <row r="50" spans="13:20">
      <c r="M50" s="816">
        <f>'Brd Tbl'!A49</f>
        <v>2002</v>
      </c>
      <c r="N50" s="816">
        <f t="shared" si="0"/>
        <v>2007</v>
      </c>
      <c r="O50" s="820">
        <f>'Brd Tbl'!K49</f>
        <v>65529.708631289825</v>
      </c>
      <c r="P50" s="820">
        <f>'Brd Tbl'!P49</f>
        <v>401156.89491228049</v>
      </c>
      <c r="Q50" s="820">
        <f t="shared" si="1"/>
        <v>466686.60354357032</v>
      </c>
      <c r="R50" s="820">
        <f>'Brd Tbl'!V49</f>
        <v>2281728.634522045</v>
      </c>
      <c r="S50" s="534">
        <f>'Brd Tbl'!AA49</f>
        <v>15367.679240517831</v>
      </c>
      <c r="T50" s="514">
        <f t="shared" si="2"/>
        <v>2297096.3137625628</v>
      </c>
    </row>
    <row r="51" spans="13:20">
      <c r="M51" s="816">
        <f>'Brd Tbl'!A50</f>
        <v>2003</v>
      </c>
      <c r="N51" s="816">
        <f t="shared" si="0"/>
        <v>2008</v>
      </c>
      <c r="O51" s="820">
        <f>'Brd Tbl'!K50</f>
        <v>87317.420271431401</v>
      </c>
      <c r="P51" s="820">
        <f>'Brd Tbl'!P50</f>
        <v>144497.9544226641</v>
      </c>
      <c r="Q51" s="820">
        <f t="shared" ref="Q51:Q54" si="3">SUM(O51:P51)</f>
        <v>231815.37469409552</v>
      </c>
      <c r="R51" s="820">
        <f>'Brd Tbl'!V50</f>
        <v>796157.21431067027</v>
      </c>
      <c r="S51" s="534">
        <f>'Brd Tbl'!AA50</f>
        <v>15401.179969687904</v>
      </c>
      <c r="T51" s="514">
        <f t="shared" ref="T51:T53" si="4">SUM(R51:S51)</f>
        <v>811558.39428035822</v>
      </c>
    </row>
    <row r="52" spans="13:20">
      <c r="M52" s="816">
        <f>'Brd Tbl'!A51</f>
        <v>2004</v>
      </c>
      <c r="N52" s="816">
        <f t="shared" si="0"/>
        <v>2009</v>
      </c>
      <c r="O52" s="820">
        <f>'Brd Tbl'!K51</f>
        <v>15467.467798964146</v>
      </c>
      <c r="P52" s="820">
        <f>'Brd Tbl'!P51</f>
        <v>103350.61858821202</v>
      </c>
      <c r="Q52" s="820">
        <f t="shared" si="3"/>
        <v>118818.08638717617</v>
      </c>
      <c r="R52" s="820">
        <f>'Brd Tbl'!V51</f>
        <v>940457.62252988853</v>
      </c>
      <c r="S52" s="534">
        <f>'Brd Tbl'!AA51</f>
        <v>37854.670951031578</v>
      </c>
      <c r="T52" s="514">
        <f t="shared" si="4"/>
        <v>978312.29348092014</v>
      </c>
    </row>
    <row r="53" spans="13:20">
      <c r="M53" s="816">
        <f>'Brd Tbl'!A52</f>
        <v>2005</v>
      </c>
      <c r="N53" s="816">
        <f>M53+5</f>
        <v>2010</v>
      </c>
      <c r="O53" s="820">
        <f>'Brd Tbl'!K52</f>
        <v>44060.106639328726</v>
      </c>
      <c r="P53" s="820">
        <f>'Brd Tbl'!P52</f>
        <v>348675.14452879829</v>
      </c>
      <c r="Q53" s="820">
        <f t="shared" si="3"/>
        <v>392735.251168127</v>
      </c>
      <c r="R53" s="820">
        <f>'Brd Tbl'!V52</f>
        <v>730494.56928830943</v>
      </c>
      <c r="S53" s="534">
        <f>'Brd Tbl'!AA52</f>
        <v>21592.29762588007</v>
      </c>
      <c r="T53" s="514">
        <f t="shared" si="4"/>
        <v>752086.86691418954</v>
      </c>
    </row>
    <row r="54" spans="13:20">
      <c r="M54" s="816">
        <f>'Brd Tbl'!A53</f>
        <v>2006</v>
      </c>
      <c r="N54" s="816">
        <f t="shared" si="0"/>
        <v>2011</v>
      </c>
      <c r="O54" s="820">
        <f>'Brd Tbl'!K53</f>
        <v>19349.812082381031</v>
      </c>
      <c r="P54" s="820">
        <f>'Brd Tbl'!P53</f>
        <v>409775.58032286481</v>
      </c>
      <c r="Q54" s="820">
        <f t="shared" si="3"/>
        <v>429125.39240524586</v>
      </c>
      <c r="R54" s="820"/>
      <c r="S54" s="534"/>
      <c r="T54" s="514"/>
    </row>
    <row r="55" spans="13:20">
      <c r="M55" s="816"/>
      <c r="N55" s="816"/>
      <c r="O55" s="820"/>
      <c r="P55" s="820"/>
      <c r="Q55" s="820"/>
      <c r="R55" s="820"/>
      <c r="S55" s="534"/>
      <c r="T55" s="514"/>
    </row>
  </sheetData>
  <phoneticPr fontId="60" type="noConversion"/>
  <pageMargins left="0.75" right="0.75" top="1" bottom="1" header="0.5" footer="0.5"/>
  <pageSetup scale="75"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L63"/>
  <sheetViews>
    <sheetView workbookViewId="0">
      <pane ySplit="7" topLeftCell="A38" activePane="bottomLeft" state="frozen"/>
      <selection activeCell="W48" sqref="W48"/>
      <selection pane="bottomLeft" activeCell="J67" sqref="J67"/>
    </sheetView>
  </sheetViews>
  <sheetFormatPr defaultRowHeight="12.75"/>
  <cols>
    <col min="1" max="1" width="7.109375" style="1009" customWidth="1"/>
    <col min="2" max="2" width="7.6640625" style="1009" customWidth="1"/>
    <col min="3" max="3" width="8.6640625" style="1009" customWidth="1"/>
    <col min="4" max="4" width="8.109375" style="1009" customWidth="1"/>
    <col min="5" max="5" width="7.88671875" style="1009" customWidth="1"/>
    <col min="6" max="8" width="10.5546875" style="1009" customWidth="1"/>
    <col min="9" max="9" width="3.33203125" style="1009" customWidth="1"/>
    <col min="10" max="10" width="12.5546875" style="1009" customWidth="1"/>
    <col min="11" max="11" width="1.88671875" style="1009" customWidth="1"/>
    <col min="12" max="16384" width="8.88671875" style="1009"/>
  </cols>
  <sheetData>
    <row r="1" spans="1:12">
      <c r="A1" s="1008" t="str">
        <f ca="1">CELL("filename",A1)</f>
        <v>O:\DCF\SALMON\FORECAST\2015\[2015_Copper River Wild Sockeye forecast_FINAL.xlsm]Fry to adult survival</v>
      </c>
      <c r="B1" s="1008"/>
    </row>
    <row r="2" spans="1:12" ht="9.75" customHeight="1"/>
    <row r="3" spans="1:12" ht="15.75">
      <c r="A3" s="1010" t="s">
        <v>593</v>
      </c>
      <c r="B3" s="1010" t="s">
        <v>616</v>
      </c>
    </row>
    <row r="5" spans="1:12">
      <c r="A5" s="1011"/>
      <c r="B5" s="1011"/>
      <c r="C5" s="1011"/>
      <c r="D5" s="1011"/>
      <c r="E5" s="1011"/>
      <c r="F5" s="1012" t="s">
        <v>594</v>
      </c>
      <c r="G5" s="1012"/>
      <c r="H5" s="1012"/>
      <c r="I5" s="1011"/>
      <c r="J5" s="1013"/>
      <c r="K5" s="1011"/>
      <c r="L5" s="1011"/>
    </row>
    <row r="6" spans="1:12">
      <c r="A6" s="1014" t="s">
        <v>23</v>
      </c>
      <c r="B6" s="1014" t="s">
        <v>595</v>
      </c>
      <c r="C6" s="1015" t="s">
        <v>596</v>
      </c>
      <c r="D6" s="1014" t="s">
        <v>597</v>
      </c>
      <c r="E6" s="1014" t="s">
        <v>407</v>
      </c>
      <c r="F6" s="1016">
        <v>0.17</v>
      </c>
      <c r="G6" s="1016">
        <v>0.83</v>
      </c>
      <c r="H6" s="1017"/>
      <c r="I6" s="1018"/>
      <c r="J6" s="1019" t="s">
        <v>598</v>
      </c>
      <c r="K6" s="1018"/>
      <c r="L6" s="1018"/>
    </row>
    <row r="7" spans="1:12">
      <c r="A7" s="1020" t="s">
        <v>27</v>
      </c>
      <c r="B7" s="1020" t="s">
        <v>27</v>
      </c>
      <c r="C7" s="1016" t="s">
        <v>599</v>
      </c>
      <c r="D7" s="1020" t="s">
        <v>600</v>
      </c>
      <c r="E7" s="1020" t="s">
        <v>600</v>
      </c>
      <c r="F7" s="1016" t="s">
        <v>597</v>
      </c>
      <c r="G7" s="1016" t="s">
        <v>601</v>
      </c>
      <c r="H7" s="1016" t="s">
        <v>128</v>
      </c>
      <c r="I7" s="1021"/>
      <c r="J7" s="1022" t="s">
        <v>602</v>
      </c>
      <c r="K7" s="1021"/>
      <c r="L7" s="1021"/>
    </row>
    <row r="8" spans="1:12">
      <c r="A8" s="1023">
        <v>1973</v>
      </c>
      <c r="B8" s="1014">
        <v>1974</v>
      </c>
      <c r="C8" s="1024">
        <f>'[11]Fry releases'!H7</f>
        <v>179311</v>
      </c>
      <c r="D8" s="1025">
        <v>1977</v>
      </c>
      <c r="E8" s="1025">
        <v>1978</v>
      </c>
      <c r="F8" s="1026">
        <f>[11]Contributions!I8</f>
        <v>317.72249663625212</v>
      </c>
      <c r="G8" s="1024">
        <f>$G$6*[11]Contributions!I9</f>
        <v>1739.8925753348472</v>
      </c>
      <c r="H8" s="1024">
        <f>SUM(F8:G8)</f>
        <v>2057.6150719710995</v>
      </c>
      <c r="J8" s="1027">
        <f>H8/C8</f>
        <v>1.1475119049980756E-2</v>
      </c>
    </row>
    <row r="9" spans="1:12">
      <c r="A9" s="1023">
        <v>1974</v>
      </c>
      <c r="B9" s="1014">
        <v>1975</v>
      </c>
      <c r="C9" s="1024">
        <f>'[11]Fry releases'!H8</f>
        <v>886556</v>
      </c>
      <c r="D9" s="1025">
        <v>1978</v>
      </c>
      <c r="E9" s="1025">
        <v>1979</v>
      </c>
      <c r="F9" s="1026">
        <f>$F$6*[11]Contributions!I9</f>
        <v>356.36353952641451</v>
      </c>
      <c r="G9" s="1024">
        <f>$G$6*[11]Contributions!I10</f>
        <v>3923.6068573749617</v>
      </c>
      <c r="H9" s="1024">
        <f>SUM(F9:G9)</f>
        <v>4279.9703969013763</v>
      </c>
      <c r="J9" s="1027">
        <f t="shared" ref="J9:J44" si="0">H9/C9</f>
        <v>4.8276368293727369E-3</v>
      </c>
    </row>
    <row r="10" spans="1:12">
      <c r="A10" s="1023">
        <v>1975</v>
      </c>
      <c r="B10" s="1014">
        <v>1976</v>
      </c>
      <c r="C10" s="1024">
        <f>'[11]Fry releases'!H9</f>
        <v>728681</v>
      </c>
      <c r="D10" s="1025">
        <v>1979</v>
      </c>
      <c r="E10" s="1025">
        <v>1980</v>
      </c>
      <c r="F10" s="1026">
        <f>$F$6*[11]Contributions!I10</f>
        <v>803.63032018523324</v>
      </c>
      <c r="G10" s="1024">
        <f>$G$6*[11]Contributions!I11</f>
        <v>4335.1740285243732</v>
      </c>
      <c r="H10" s="1024">
        <f t="shared" ref="H10:H40" si="1">SUM(F10:G10)</f>
        <v>5138.8043487096065</v>
      </c>
      <c r="J10" s="1027">
        <f t="shared" si="0"/>
        <v>7.0522002751678805E-3</v>
      </c>
    </row>
    <row r="11" spans="1:12">
      <c r="A11" s="1023">
        <v>1976</v>
      </c>
      <c r="B11" s="1014">
        <v>1977</v>
      </c>
      <c r="C11" s="1024">
        <f>'[11]Fry releases'!H10</f>
        <v>627170</v>
      </c>
      <c r="D11" s="1025">
        <v>1980</v>
      </c>
      <c r="E11" s="1025">
        <v>1981</v>
      </c>
      <c r="F11" s="1026">
        <f>$F$6*[11]Contributions!I11</f>
        <v>887.92721066161869</v>
      </c>
      <c r="G11" s="1024">
        <f>$G$6*[11]Contributions!I12</f>
        <v>7254.743714258866</v>
      </c>
      <c r="H11" s="1024">
        <f t="shared" si="1"/>
        <v>8142.670924920485</v>
      </c>
      <c r="J11" s="1027">
        <f t="shared" si="0"/>
        <v>1.2983195823971946E-2</v>
      </c>
    </row>
    <row r="12" spans="1:12">
      <c r="A12" s="1023">
        <v>1977</v>
      </c>
      <c r="B12" s="1014">
        <v>1978</v>
      </c>
      <c r="C12" s="1024">
        <f>'[11]Fry releases'!H11</f>
        <v>581277</v>
      </c>
      <c r="D12" s="1025">
        <v>1981</v>
      </c>
      <c r="E12" s="1025">
        <v>1982</v>
      </c>
      <c r="F12" s="1026">
        <f>$F$6*[11]Contributions!I12</f>
        <v>1485.9113631614546</v>
      </c>
      <c r="G12" s="1024">
        <f>$G$6*[11]Contributions!I13</f>
        <v>8024.9216371349539</v>
      </c>
      <c r="H12" s="1024">
        <f t="shared" si="1"/>
        <v>9510.8330002964085</v>
      </c>
      <c r="J12" s="1027">
        <f t="shared" si="0"/>
        <v>1.6361963401779887E-2</v>
      </c>
    </row>
    <row r="13" spans="1:12">
      <c r="A13" s="1023">
        <v>1978</v>
      </c>
      <c r="B13" s="1014">
        <v>1979</v>
      </c>
      <c r="C13" s="1024">
        <f>'[11]Fry releases'!H12</f>
        <v>1040563</v>
      </c>
      <c r="D13" s="1025">
        <v>1982</v>
      </c>
      <c r="E13" s="1025">
        <v>1983</v>
      </c>
      <c r="F13" s="1026">
        <f>$F$6*[11]Contributions!I13</f>
        <v>1643.6586485698099</v>
      </c>
      <c r="G13" s="1024">
        <f>$G$6*[11]Contributions!I14</f>
        <v>11862.130667930905</v>
      </c>
      <c r="H13" s="1024">
        <f t="shared" si="1"/>
        <v>13505.789316500715</v>
      </c>
      <c r="J13" s="1027">
        <f t="shared" si="0"/>
        <v>1.2979309581928932E-2</v>
      </c>
    </row>
    <row r="14" spans="1:12">
      <c r="A14" s="1023">
        <v>1979</v>
      </c>
      <c r="B14" s="1014">
        <v>1980</v>
      </c>
      <c r="C14" s="1024">
        <f>'[11]Fry releases'!H13</f>
        <v>2446057</v>
      </c>
      <c r="D14" s="1025">
        <v>1983</v>
      </c>
      <c r="E14" s="1025">
        <v>1984</v>
      </c>
      <c r="F14" s="1026">
        <f>$F$6*[11]Contributions!I14</f>
        <v>2429.5930283713906</v>
      </c>
      <c r="G14" s="1024">
        <f>$G$6*[11]Contributions!I15</f>
        <v>16958.986970128717</v>
      </c>
      <c r="H14" s="1024">
        <f t="shared" si="1"/>
        <v>19388.579998500107</v>
      </c>
      <c r="J14" s="1027">
        <f t="shared" si="0"/>
        <v>7.92646287412767E-3</v>
      </c>
    </row>
    <row r="15" spans="1:12">
      <c r="A15" s="1023">
        <v>1980</v>
      </c>
      <c r="B15" s="1014">
        <v>1981</v>
      </c>
      <c r="C15" s="1024">
        <f>'[11]Fry releases'!H14</f>
        <v>5249173</v>
      </c>
      <c r="D15" s="1025">
        <v>1984</v>
      </c>
      <c r="E15" s="1025">
        <v>1985</v>
      </c>
      <c r="F15" s="1026">
        <f>$F$6*[11]Contributions!I15</f>
        <v>3473.5274517131111</v>
      </c>
      <c r="G15" s="1024">
        <f>$G$6*[11]Contributions!I16</f>
        <v>45542.429369565543</v>
      </c>
      <c r="H15" s="1024">
        <f t="shared" si="1"/>
        <v>49015.956821278654</v>
      </c>
      <c r="J15" s="1027">
        <f t="shared" si="0"/>
        <v>9.3378436605687509E-3</v>
      </c>
    </row>
    <row r="16" spans="1:12">
      <c r="A16" s="1023">
        <v>1981</v>
      </c>
      <c r="B16" s="1014">
        <v>1982</v>
      </c>
      <c r="C16" s="1024">
        <f>'[11]Fry releases'!H15</f>
        <v>8033217</v>
      </c>
      <c r="D16" s="1025">
        <v>1985</v>
      </c>
      <c r="E16" s="1025">
        <v>1986</v>
      </c>
      <c r="F16" s="1026">
        <f>$F$6*[11]Contributions!I16</f>
        <v>9327.967461236316</v>
      </c>
      <c r="G16" s="1024">
        <f>$G$6*[11]Contributions!I17</f>
        <v>44952.244046285341</v>
      </c>
      <c r="H16" s="1024">
        <f t="shared" si="1"/>
        <v>54280.211507521657</v>
      </c>
      <c r="J16" s="1027">
        <f t="shared" si="0"/>
        <v>6.7569706516731288E-3</v>
      </c>
    </row>
    <row r="17" spans="1:10">
      <c r="A17" s="1023">
        <v>1982</v>
      </c>
      <c r="B17" s="1014">
        <v>1983</v>
      </c>
      <c r="C17" s="1024">
        <f>'[11]Fry releases'!H16</f>
        <v>9782684</v>
      </c>
      <c r="D17" s="1025">
        <v>1986</v>
      </c>
      <c r="E17" s="1025">
        <v>1987</v>
      </c>
      <c r="F17" s="1026">
        <f>$F$6*[11]Contributions!I17</f>
        <v>9207.0861299620592</v>
      </c>
      <c r="G17" s="1024">
        <f>$G$6*[11]Contributions!I18</f>
        <v>65405.893370018355</v>
      </c>
      <c r="H17" s="1024">
        <f t="shared" si="1"/>
        <v>74612.979499980414</v>
      </c>
      <c r="J17" s="1027">
        <f t="shared" si="0"/>
        <v>7.6270458598049796E-3</v>
      </c>
    </row>
    <row r="18" spans="1:10">
      <c r="A18" s="1023">
        <v>1983</v>
      </c>
      <c r="B18" s="1014">
        <v>1984</v>
      </c>
      <c r="C18" s="1024">
        <f>'[11]Fry releases'!H17</f>
        <v>10904209</v>
      </c>
      <c r="D18" s="1025">
        <v>1987</v>
      </c>
      <c r="E18" s="1025">
        <v>1988</v>
      </c>
      <c r="F18" s="1026">
        <f>$F$6*[11]Contributions!I18</f>
        <v>13396.387798678461</v>
      </c>
      <c r="G18" s="1024">
        <f>$G$6*[11]Contributions!I19</f>
        <v>109796.94746664367</v>
      </c>
      <c r="H18" s="1024">
        <f t="shared" si="1"/>
        <v>123193.33526532214</v>
      </c>
      <c r="J18" s="1027">
        <f t="shared" si="0"/>
        <v>1.1297778249235882E-2</v>
      </c>
    </row>
    <row r="19" spans="1:10">
      <c r="A19" s="1023">
        <v>1984</v>
      </c>
      <c r="B19" s="1014">
        <v>1985</v>
      </c>
      <c r="C19" s="1024">
        <f>'[11]Fry releases'!H18</f>
        <v>19000532</v>
      </c>
      <c r="D19" s="1025">
        <v>1988</v>
      </c>
      <c r="E19" s="1025">
        <v>1989</v>
      </c>
      <c r="F19" s="1026">
        <f>$F$6*[11]Contributions!I19</f>
        <v>22488.531408830633</v>
      </c>
      <c r="G19" s="1024">
        <f>$G$6*[11]Contributions!I20</f>
        <v>196696.35527960546</v>
      </c>
      <c r="H19" s="1024">
        <f t="shared" si="1"/>
        <v>219184.88668843609</v>
      </c>
      <c r="J19" s="1027">
        <f t="shared" si="0"/>
        <v>1.1535723667549734E-2</v>
      </c>
    </row>
    <row r="20" spans="1:10">
      <c r="A20" s="1023">
        <v>1985</v>
      </c>
      <c r="B20" s="1014">
        <v>1986</v>
      </c>
      <c r="C20" s="1024">
        <f>'[11]Fry releases'!H19</f>
        <v>23587594</v>
      </c>
      <c r="D20" s="1025">
        <v>1989</v>
      </c>
      <c r="E20" s="1025">
        <v>1990</v>
      </c>
      <c r="F20" s="1026">
        <f>$F$6*[11]Contributions!I20</f>
        <v>40287.205298232453</v>
      </c>
      <c r="G20" s="1024">
        <f>$G$6*[11]Contributions!I21</f>
        <v>75886.226190154688</v>
      </c>
      <c r="H20" s="1024">
        <f t="shared" si="1"/>
        <v>116173.43148838714</v>
      </c>
      <c r="J20" s="1027">
        <f t="shared" si="0"/>
        <v>4.9251920941316496E-3</v>
      </c>
    </row>
    <row r="21" spans="1:10">
      <c r="A21" s="1023">
        <v>1986</v>
      </c>
      <c r="B21" s="1014">
        <v>1987</v>
      </c>
      <c r="C21" s="1024">
        <f>'[11]Fry releases'!H20</f>
        <v>22397733</v>
      </c>
      <c r="D21" s="1025">
        <v>1990</v>
      </c>
      <c r="E21" s="1025">
        <v>1991</v>
      </c>
      <c r="F21" s="1026">
        <f>$F$6*[11]Contributions!I21</f>
        <v>15542.961990754575</v>
      </c>
      <c r="G21" s="1024">
        <f>$G$6*[11]Contributions!I22</f>
        <v>126440.1444415664</v>
      </c>
      <c r="H21" s="1024">
        <f t="shared" si="1"/>
        <v>141983.10643232099</v>
      </c>
      <c r="J21" s="1027">
        <f t="shared" si="0"/>
        <v>6.3391730954343011E-3</v>
      </c>
    </row>
    <row r="22" spans="1:10">
      <c r="A22" s="1023">
        <v>1987</v>
      </c>
      <c r="B22" s="1014">
        <v>1988</v>
      </c>
      <c r="C22" s="1024">
        <f>'[11]Fry releases'!H21</f>
        <v>20904001</v>
      </c>
      <c r="D22" s="1025">
        <v>1991</v>
      </c>
      <c r="E22" s="1025">
        <v>1992</v>
      </c>
      <c r="F22" s="1026">
        <f>$F$6*[11]Contributions!I22</f>
        <v>25897.37898200758</v>
      </c>
      <c r="G22" s="1024">
        <f>$G$6*[11]Contributions!I23</f>
        <v>108919.43255319497</v>
      </c>
      <c r="H22" s="1024">
        <f t="shared" si="1"/>
        <v>134816.81153520255</v>
      </c>
      <c r="J22" s="1027">
        <f t="shared" si="0"/>
        <v>6.4493305150149271E-3</v>
      </c>
    </row>
    <row r="23" spans="1:10">
      <c r="A23" s="1023">
        <v>1988</v>
      </c>
      <c r="B23" s="1014">
        <v>1989</v>
      </c>
      <c r="C23" s="1024">
        <f>'[11]Fry releases'!H22</f>
        <v>26005549</v>
      </c>
      <c r="D23" s="1025">
        <v>1992</v>
      </c>
      <c r="E23" s="1025">
        <v>1993</v>
      </c>
      <c r="F23" s="1026">
        <f>$F$6*[11]Contributions!I23</f>
        <v>22308.799438606202</v>
      </c>
      <c r="G23" s="1024">
        <f>$G$6*[11]Contributions!I24</f>
        <v>217687.32906613237</v>
      </c>
      <c r="H23" s="1024">
        <f t="shared" si="1"/>
        <v>239996.12850473856</v>
      </c>
      <c r="J23" s="1027">
        <f t="shared" si="0"/>
        <v>9.2286507200728032E-3</v>
      </c>
    </row>
    <row r="24" spans="1:10">
      <c r="A24" s="1023">
        <v>1989</v>
      </c>
      <c r="B24" s="1014">
        <v>1990</v>
      </c>
      <c r="C24" s="1024">
        <f>'[11]Fry releases'!H23</f>
        <v>25478324</v>
      </c>
      <c r="D24" s="1025">
        <v>1993</v>
      </c>
      <c r="E24" s="1025">
        <v>1994</v>
      </c>
      <c r="F24" s="1026">
        <f>$F$6*[11]Contributions!I24</f>
        <v>44586.561374990968</v>
      </c>
      <c r="G24" s="1024">
        <f>$G$6*[11]Contributions!I25</f>
        <v>146519.55550917689</v>
      </c>
      <c r="H24" s="1024">
        <f t="shared" si="1"/>
        <v>191106.11688416786</v>
      </c>
      <c r="J24" s="1027">
        <f t="shared" si="0"/>
        <v>7.5007334424418131E-3</v>
      </c>
    </row>
    <row r="25" spans="1:10">
      <c r="A25" s="1023">
        <v>1990</v>
      </c>
      <c r="B25" s="1014">
        <v>1991</v>
      </c>
      <c r="C25" s="1024">
        <f>'[11]Fry releases'!H24</f>
        <v>22868313</v>
      </c>
      <c r="D25" s="1025">
        <v>1994</v>
      </c>
      <c r="E25" s="1025">
        <v>1995</v>
      </c>
      <c r="F25" s="1026">
        <f>$F$6*[11]Contributions!I25</f>
        <v>30010.029441638642</v>
      </c>
      <c r="G25" s="1024">
        <f>$G$6*[11]Contributions!I26</f>
        <v>192241.36043394584</v>
      </c>
      <c r="H25" s="1024">
        <f t="shared" si="1"/>
        <v>222251.38987558449</v>
      </c>
      <c r="J25" s="1027">
        <f t="shared" si="0"/>
        <v>9.7187488152529877E-3</v>
      </c>
    </row>
    <row r="26" spans="1:10">
      <c r="A26" s="1023">
        <v>1991</v>
      </c>
      <c r="B26" s="1014">
        <v>1992</v>
      </c>
      <c r="C26" s="1024">
        <f>'[11]Fry releases'!H25</f>
        <v>27079618</v>
      </c>
      <c r="D26" s="1025">
        <v>1995</v>
      </c>
      <c r="E26" s="1025">
        <v>1996</v>
      </c>
      <c r="F26" s="1026">
        <f>$F$6*[11]Contributions!I26</f>
        <v>39374.736474422643</v>
      </c>
      <c r="G26" s="1024">
        <f>$G$6*[11]Contributions!I27</f>
        <v>398365.92143761838</v>
      </c>
      <c r="H26" s="1024">
        <f t="shared" si="1"/>
        <v>437740.657912041</v>
      </c>
      <c r="J26" s="1027">
        <f t="shared" si="0"/>
        <v>1.6164949517088498E-2</v>
      </c>
    </row>
    <row r="27" spans="1:10">
      <c r="A27" s="1023">
        <v>1992</v>
      </c>
      <c r="B27" s="1014">
        <v>1993</v>
      </c>
      <c r="C27" s="1024">
        <f>'[11]Fry releases'!H26</f>
        <v>14193534</v>
      </c>
      <c r="D27" s="1025">
        <v>1996</v>
      </c>
      <c r="E27" s="1025">
        <v>1997</v>
      </c>
      <c r="F27" s="1026">
        <f>$F$6*[11]Contributions!I27</f>
        <v>81593.020053488115</v>
      </c>
      <c r="G27" s="1024">
        <f>$G$6*[11]Contributions!I28</f>
        <v>330845.29861803079</v>
      </c>
      <c r="H27" s="1024">
        <f t="shared" si="1"/>
        <v>412438.31867151894</v>
      </c>
      <c r="J27" s="1027">
        <f t="shared" si="0"/>
        <v>2.905818372447052E-2</v>
      </c>
    </row>
    <row r="28" spans="1:10">
      <c r="A28" s="1023">
        <v>1993</v>
      </c>
      <c r="B28" s="1014">
        <v>1994</v>
      </c>
      <c r="C28" s="1024">
        <f>'[11]Fry releases'!H27</f>
        <v>27812840</v>
      </c>
      <c r="D28" s="1025">
        <v>1997</v>
      </c>
      <c r="E28" s="1025">
        <v>1998</v>
      </c>
      <c r="F28" s="1026">
        <f>$F$6*[11]Contributions!I28</f>
        <v>67763.494897668963</v>
      </c>
      <c r="G28" s="1024">
        <f>$G$6*[11]Contributions!I29</f>
        <v>582337.11304517055</v>
      </c>
      <c r="H28" s="1024">
        <f t="shared" si="1"/>
        <v>650100.6079428395</v>
      </c>
      <c r="J28" s="1027">
        <f t="shared" si="0"/>
        <v>2.3374118139062372E-2</v>
      </c>
    </row>
    <row r="29" spans="1:10">
      <c r="A29" s="1023">
        <v>1994</v>
      </c>
      <c r="B29" s="1014">
        <v>1995</v>
      </c>
      <c r="C29" s="1024">
        <f>'[11]Fry releases'!H28</f>
        <v>29737805</v>
      </c>
      <c r="D29" s="1025">
        <v>1998</v>
      </c>
      <c r="E29" s="1025">
        <v>1999</v>
      </c>
      <c r="F29" s="1026">
        <f>$F$6*[11]Contributions!I29</f>
        <v>119273.86652732409</v>
      </c>
      <c r="G29" s="1024">
        <f>$G$6*[11]Contributions!I30</f>
        <v>935300.30398910749</v>
      </c>
      <c r="H29" s="1024">
        <f t="shared" si="1"/>
        <v>1054574.1705164316</v>
      </c>
      <c r="J29" s="1027">
        <f t="shared" si="0"/>
        <v>3.5462407885061845E-2</v>
      </c>
    </row>
    <row r="30" spans="1:10">
      <c r="A30" s="1023">
        <v>1995</v>
      </c>
      <c r="B30" s="1014">
        <v>1996</v>
      </c>
      <c r="C30" s="1024">
        <f>'[11]Fry releases'!H29</f>
        <v>30374955</v>
      </c>
      <c r="D30" s="1025">
        <v>1999</v>
      </c>
      <c r="E30" s="1025">
        <v>2000</v>
      </c>
      <c r="F30" s="1026">
        <f>$F$6*[11]Contributions!I30</f>
        <v>191567.53214234734</v>
      </c>
      <c r="G30" s="1024">
        <f>$G$6*[11]Contributions!I31</f>
        <v>395807.42611951689</v>
      </c>
      <c r="H30" s="1024">
        <f t="shared" si="1"/>
        <v>587374.95826186426</v>
      </c>
      <c r="J30" s="1027">
        <f t="shared" si="0"/>
        <v>1.9337475833688125E-2</v>
      </c>
    </row>
    <row r="31" spans="1:10">
      <c r="A31" s="1023">
        <v>1996</v>
      </c>
      <c r="B31" s="1014">
        <v>1997</v>
      </c>
      <c r="C31" s="1024">
        <f>'[11]Fry releases'!H30</f>
        <v>31789686</v>
      </c>
      <c r="D31" s="1025">
        <v>2000</v>
      </c>
      <c r="E31" s="1025">
        <v>2001</v>
      </c>
      <c r="F31" s="1026">
        <f>$F$6*[11]Contributions!I31</f>
        <v>81068.990891949259</v>
      </c>
      <c r="G31" s="1024">
        <f>$G$6*[11]Contributions!I32</f>
        <v>255641.22662185898</v>
      </c>
      <c r="H31" s="1024">
        <f t="shared" si="1"/>
        <v>336710.21751380822</v>
      </c>
      <c r="J31" s="1027">
        <f t="shared" si="0"/>
        <v>1.0591806962604419E-2</v>
      </c>
    </row>
    <row r="32" spans="1:10">
      <c r="A32" s="1023">
        <v>1997</v>
      </c>
      <c r="B32" s="1014">
        <v>1998</v>
      </c>
      <c r="C32" s="1024">
        <f>'[11]Fry releases'!H31</f>
        <v>32264799</v>
      </c>
      <c r="D32" s="1025">
        <v>2001</v>
      </c>
      <c r="E32" s="1025">
        <v>2002</v>
      </c>
      <c r="F32" s="1026">
        <f>$F$6*[11]Contributions!I32</f>
        <v>52360.251235802447</v>
      </c>
      <c r="G32" s="1024">
        <f>$G$6*[11]Contributions!I33</f>
        <v>354162.95365623618</v>
      </c>
      <c r="H32" s="1024">
        <f t="shared" si="1"/>
        <v>406523.2048920386</v>
      </c>
      <c r="J32" s="1027">
        <f t="shared" si="0"/>
        <v>1.2599588948068098E-2</v>
      </c>
    </row>
    <row r="33" spans="1:10">
      <c r="A33" s="1023">
        <v>1998</v>
      </c>
      <c r="B33" s="1014">
        <v>1999</v>
      </c>
      <c r="C33" s="1024">
        <f>'[11]Fry releases'!H32</f>
        <v>30727445</v>
      </c>
      <c r="D33" s="1025">
        <v>2002</v>
      </c>
      <c r="E33" s="1025">
        <v>2003</v>
      </c>
      <c r="F33" s="1026">
        <f>$F$6*[11]Contributions!I33</f>
        <v>72539.400146458021</v>
      </c>
      <c r="G33" s="1024">
        <f>$G$6*[11]Contributions!I34</f>
        <v>168387.40928553429</v>
      </c>
      <c r="H33" s="1024">
        <f t="shared" si="1"/>
        <v>240926.8094319923</v>
      </c>
      <c r="J33" s="1027">
        <f t="shared" si="0"/>
        <v>7.840769365366769E-3</v>
      </c>
    </row>
    <row r="34" spans="1:10">
      <c r="A34" s="1023">
        <v>1999</v>
      </c>
      <c r="B34" s="1014">
        <v>2000</v>
      </c>
      <c r="C34" s="1024">
        <f>'[11]Fry releases'!H33</f>
        <v>22337379</v>
      </c>
      <c r="D34" s="1025">
        <v>2003</v>
      </c>
      <c r="E34" s="1025">
        <v>2004</v>
      </c>
      <c r="F34" s="1026">
        <f>$F$6*[11]Contributions!I34</f>
        <v>34488.987444025101</v>
      </c>
      <c r="G34" s="1024">
        <f>$G$6*[11]Contributions!I35</f>
        <v>77571.387132039818</v>
      </c>
      <c r="H34" s="1024">
        <f t="shared" si="1"/>
        <v>112060.37457606492</v>
      </c>
      <c r="J34" s="1027">
        <f t="shared" si="0"/>
        <v>5.0167199372882967E-3</v>
      </c>
    </row>
    <row r="35" spans="1:10">
      <c r="A35" s="1023">
        <v>2000</v>
      </c>
      <c r="B35" s="1014">
        <v>2001</v>
      </c>
      <c r="C35" s="1024">
        <f>'[11]Fry releases'!H34</f>
        <v>13949515</v>
      </c>
      <c r="D35" s="1025">
        <v>2004</v>
      </c>
      <c r="E35" s="1025">
        <v>2005</v>
      </c>
      <c r="F35" s="1026">
        <f>$F$6*[11]Contributions!I35</f>
        <v>15888.115436682856</v>
      </c>
      <c r="G35" s="1024">
        <f>$G$6*[11]Contributions!I36</f>
        <v>179784.97219196128</v>
      </c>
      <c r="H35" s="1024">
        <f t="shared" si="1"/>
        <v>195673.08762864413</v>
      </c>
      <c r="J35" s="1027">
        <f t="shared" si="0"/>
        <v>1.4027232318015654E-2</v>
      </c>
    </row>
    <row r="36" spans="1:10">
      <c r="A36" s="1023">
        <v>2001</v>
      </c>
      <c r="B36" s="1014">
        <v>2002</v>
      </c>
      <c r="C36" s="1024">
        <f>'[11]Fry releases'!H35</f>
        <v>25902670</v>
      </c>
      <c r="D36" s="1025">
        <v>2005</v>
      </c>
      <c r="E36" s="1025">
        <v>2006</v>
      </c>
      <c r="F36" s="1026">
        <f>$F$6*[11]Contributions!I36</f>
        <v>36823.428039317376</v>
      </c>
      <c r="G36" s="1024">
        <f>$G$6*[11]Contributions!I37</f>
        <v>238986.24688715351</v>
      </c>
      <c r="H36" s="1024">
        <f t="shared" si="1"/>
        <v>275809.67492647091</v>
      </c>
      <c r="J36" s="1027">
        <f t="shared" si="0"/>
        <v>1.064792451613949E-2</v>
      </c>
    </row>
    <row r="37" spans="1:10">
      <c r="A37" s="1023">
        <v>2002</v>
      </c>
      <c r="B37" s="1014">
        <v>2003</v>
      </c>
      <c r="C37" s="1024">
        <f>'[11]Fry releases'!H36</f>
        <v>26244815</v>
      </c>
      <c r="D37" s="1025">
        <v>2006</v>
      </c>
      <c r="E37" s="1025">
        <v>2007</v>
      </c>
      <c r="F37" s="1026">
        <f>$F$6*[11]Contributions!I37</f>
        <v>48948.99032628446</v>
      </c>
      <c r="G37" s="1024">
        <f>$G$6*[11]Contributions!I38</f>
        <v>110085.28699672846</v>
      </c>
      <c r="H37" s="1024">
        <f t="shared" si="1"/>
        <v>159034.27732301294</v>
      </c>
      <c r="J37" s="1027">
        <f t="shared" si="0"/>
        <v>6.0596455842044589E-3</v>
      </c>
    </row>
    <row r="38" spans="1:10">
      <c r="A38" s="1023">
        <v>2003</v>
      </c>
      <c r="B38" s="1014">
        <v>2004</v>
      </c>
      <c r="C38" s="1024">
        <f>'[11]Fry releases'!H37</f>
        <v>27342549</v>
      </c>
      <c r="D38" s="1025">
        <v>2007</v>
      </c>
      <c r="E38" s="1025">
        <v>2008</v>
      </c>
      <c r="F38" s="1026">
        <f>$F$6*[11]Contributions!I38</f>
        <v>22547.588902944386</v>
      </c>
      <c r="G38" s="1024">
        <f>$G$6*[11]Contributions!I39</f>
        <v>71483.856902735541</v>
      </c>
      <c r="H38" s="1024">
        <f t="shared" si="1"/>
        <v>94031.445805679919</v>
      </c>
      <c r="J38" s="1027">
        <f t="shared" si="0"/>
        <v>3.4390153531654974E-3</v>
      </c>
    </row>
    <row r="39" spans="1:10">
      <c r="A39" s="1023">
        <v>2004</v>
      </c>
      <c r="B39" s="1014">
        <v>2005</v>
      </c>
      <c r="C39" s="1024">
        <f>'[11]Fry releases'!H38</f>
        <v>7011360</v>
      </c>
      <c r="D39" s="1025">
        <v>2008</v>
      </c>
      <c r="E39" s="1025">
        <v>2009</v>
      </c>
      <c r="F39" s="1026">
        <f>$F$6*[11]Contributions!I39</f>
        <v>14641.271895741014</v>
      </c>
      <c r="G39" s="1024">
        <f>$G$6*[11]Contributions!I40</f>
        <v>110456.75903451306</v>
      </c>
      <c r="H39" s="1024">
        <f t="shared" si="1"/>
        <v>125098.03093025407</v>
      </c>
      <c r="J39" s="1027">
        <f t="shared" si="0"/>
        <v>1.7842191947104995E-2</v>
      </c>
    </row>
    <row r="40" spans="1:10">
      <c r="A40" s="1023">
        <v>2005</v>
      </c>
      <c r="B40" s="1014">
        <v>2006</v>
      </c>
      <c r="C40" s="1024">
        <f>'[11]Fry releases'!H39</f>
        <v>20222456</v>
      </c>
      <c r="D40" s="1028">
        <v>2009</v>
      </c>
      <c r="E40" s="1028">
        <v>2010</v>
      </c>
      <c r="F40" s="1026">
        <f>$F$6*[11]Contributions!I40</f>
        <v>22623.673537189425</v>
      </c>
      <c r="G40" s="1024">
        <f>$G$6*[11]Contributions!I41</f>
        <v>360959.33989388222</v>
      </c>
      <c r="H40" s="1024">
        <f t="shared" si="1"/>
        <v>383583.01343107165</v>
      </c>
      <c r="J40" s="1027">
        <f t="shared" si="0"/>
        <v>1.8968171493663859E-2</v>
      </c>
    </row>
    <row r="41" spans="1:10">
      <c r="A41" s="1023">
        <v>2006</v>
      </c>
      <c r="B41" s="1014">
        <v>2007</v>
      </c>
      <c r="C41" s="1024">
        <f>'[11]Fry releases'!H40</f>
        <v>22000000</v>
      </c>
      <c r="D41" s="1028">
        <v>2010</v>
      </c>
      <c r="E41" s="1028">
        <v>2011</v>
      </c>
      <c r="F41" s="1026">
        <f>$F$6*[11]Contributions!I41</f>
        <v>73931.431062602394</v>
      </c>
      <c r="G41" s="1024">
        <f>$G$6*[11]Contributions!I42</f>
        <v>482183.51825322374</v>
      </c>
      <c r="H41" s="1024">
        <f>SUM(F41:G41)</f>
        <v>556114.94931582618</v>
      </c>
      <c r="J41" s="1027">
        <f t="shared" si="0"/>
        <v>2.5277952241628463E-2</v>
      </c>
    </row>
    <row r="42" spans="1:10">
      <c r="A42" s="1023">
        <v>2007</v>
      </c>
      <c r="B42" s="1014">
        <v>2008</v>
      </c>
      <c r="C42" s="1024">
        <f>'[11]Fry releases'!H41</f>
        <v>21980000</v>
      </c>
      <c r="D42" s="1028">
        <v>2011</v>
      </c>
      <c r="E42" s="1028">
        <v>2012</v>
      </c>
      <c r="F42" s="1026">
        <f>$F$6*[11]Contributions!I42</f>
        <v>98760.479642226564</v>
      </c>
      <c r="G42" s="1024">
        <f>$G$6*[11]Contributions!I43</f>
        <v>371984.91221066262</v>
      </c>
      <c r="H42" s="1024">
        <f>SUM(F42:G42)</f>
        <v>470745.39185288921</v>
      </c>
      <c r="J42" s="1027">
        <f t="shared" si="0"/>
        <v>2.1416987800404422E-2</v>
      </c>
    </row>
    <row r="43" spans="1:10">
      <c r="A43" s="1023">
        <v>2008</v>
      </c>
      <c r="B43" s="1014">
        <v>2009</v>
      </c>
      <c r="C43" s="1024">
        <f>'[11]Fry releases'!H42</f>
        <v>22000000</v>
      </c>
      <c r="D43" s="1028">
        <v>2012</v>
      </c>
      <c r="E43" s="1028">
        <v>2013</v>
      </c>
      <c r="F43" s="1026">
        <f>$F$6*[11]Contributions!I43</f>
        <v>76189.68081423211</v>
      </c>
      <c r="G43" s="1024">
        <f>$G$6*[11]Contributions!I44</f>
        <v>409622.97147782199</v>
      </c>
      <c r="H43" s="1024">
        <f t="shared" ref="H43:H44" si="2">SUM(F43:G43)</f>
        <v>485812.65229205409</v>
      </c>
      <c r="J43" s="1027">
        <f t="shared" si="0"/>
        <v>2.208239328600246E-2</v>
      </c>
    </row>
    <row r="44" spans="1:10">
      <c r="A44" s="1023">
        <v>2009</v>
      </c>
      <c r="B44" s="1014">
        <v>2010</v>
      </c>
      <c r="C44" s="1024">
        <f>'[11]Fry releases'!H43</f>
        <v>22010000</v>
      </c>
      <c r="D44" s="1028">
        <v>2013</v>
      </c>
      <c r="E44" s="1028">
        <v>2014</v>
      </c>
      <c r="F44" s="1026">
        <f>$F$6*[11]Contributions!I44</f>
        <v>83898.680905096087</v>
      </c>
      <c r="G44" s="1024">
        <f>$G$6*[11]Contributions!I45</f>
        <v>328313.98357859079</v>
      </c>
      <c r="H44" s="1024">
        <f t="shared" si="2"/>
        <v>412212.66448368691</v>
      </c>
      <c r="J44" s="1027">
        <f t="shared" si="0"/>
        <v>1.8728426373634116E-2</v>
      </c>
    </row>
    <row r="45" spans="1:10">
      <c r="A45" s="1023">
        <v>2010</v>
      </c>
      <c r="B45" s="1014">
        <v>2011</v>
      </c>
      <c r="C45" s="1024">
        <f>'[11]Fry releases'!H44</f>
        <v>21980000</v>
      </c>
      <c r="D45" s="1028">
        <v>2014</v>
      </c>
      <c r="E45" s="1028">
        <v>2015</v>
      </c>
      <c r="F45" s="1026">
        <f>$F$6*[11]Contributions!I45</f>
        <v>67245.032781157162</v>
      </c>
      <c r="G45" s="1024"/>
      <c r="H45" s="1024"/>
      <c r="J45" s="1027"/>
    </row>
    <row r="46" spans="1:10">
      <c r="A46" s="1023">
        <v>2011</v>
      </c>
      <c r="B46" s="1014">
        <v>2012</v>
      </c>
      <c r="C46" s="1024">
        <f>'[11]Fry releases'!H45</f>
        <v>21520000</v>
      </c>
      <c r="D46" s="1028">
        <v>2015</v>
      </c>
      <c r="E46" s="1028">
        <v>2016</v>
      </c>
      <c r="F46" s="1026"/>
      <c r="G46" s="1024"/>
      <c r="H46" s="1024"/>
      <c r="J46" s="1027"/>
    </row>
    <row r="47" spans="1:10">
      <c r="A47" s="1023">
        <v>2012</v>
      </c>
      <c r="B47" s="1014">
        <v>2013</v>
      </c>
      <c r="C47" s="1024">
        <f>'[11]Fry releases'!H46</f>
        <v>18560000</v>
      </c>
    </row>
    <row r="48" spans="1:10">
      <c r="A48" s="1023">
        <v>2013</v>
      </c>
      <c r="B48" s="1014">
        <v>2014</v>
      </c>
      <c r="C48" s="1024"/>
    </row>
    <row r="49" spans="1:10">
      <c r="A49" s="1021"/>
      <c r="B49" s="1021"/>
      <c r="C49" s="1021"/>
      <c r="D49" s="1021"/>
      <c r="E49" s="1021"/>
      <c r="F49" s="1021"/>
      <c r="G49" s="1021"/>
      <c r="H49" s="1018"/>
      <c r="I49" s="1018"/>
      <c r="J49" s="1027"/>
    </row>
    <row r="50" spans="1:10">
      <c r="A50" s="1018"/>
      <c r="B50" s="1018"/>
      <c r="C50" s="1018"/>
      <c r="D50" s="1018"/>
      <c r="E50" s="1018"/>
      <c r="F50" s="1018"/>
      <c r="G50" s="1018"/>
      <c r="H50" s="1029" t="s">
        <v>146</v>
      </c>
      <c r="I50" s="1011">
        <v>3</v>
      </c>
      <c r="J50" s="1030">
        <f>AVERAGE(J42:J44)</f>
        <v>2.0742602486680334E-2</v>
      </c>
    </row>
    <row r="51" spans="1:10">
      <c r="H51" s="1018"/>
      <c r="I51" s="1015">
        <v>5</v>
      </c>
      <c r="J51" s="1032">
        <f>AVERAGE(J39:J44)</f>
        <v>2.0719353857073051E-2</v>
      </c>
    </row>
    <row r="52" spans="1:10">
      <c r="H52" s="1031" t="s">
        <v>603</v>
      </c>
      <c r="I52" s="1015">
        <v>10</v>
      </c>
      <c r="J52" s="1032">
        <f>AVERAGE(J35:J44)</f>
        <v>1.5848994091396344E-2</v>
      </c>
    </row>
    <row r="53" spans="1:10" ht="13.5" thickBot="1">
      <c r="H53" s="1021"/>
      <c r="I53" s="1033" t="s">
        <v>405</v>
      </c>
      <c r="J53" s="1034">
        <f>AVERAGE(J8:J44)</f>
        <v>1.3034028103626302E-2</v>
      </c>
    </row>
    <row r="54" spans="1:10" ht="27">
      <c r="A54" s="1082" t="s">
        <v>604</v>
      </c>
      <c r="B54" s="1083">
        <v>2015</v>
      </c>
      <c r="C54" s="1084"/>
      <c r="D54" s="1084"/>
      <c r="E54" s="1084"/>
      <c r="F54" s="1084"/>
      <c r="G54" s="1085"/>
    </row>
    <row r="55" spans="1:10">
      <c r="A55" s="1086"/>
      <c r="B55" s="1018"/>
      <c r="C55" s="1018"/>
      <c r="D55" s="1018"/>
      <c r="E55" s="1018"/>
      <c r="F55" s="1018"/>
      <c r="G55" s="1087"/>
    </row>
    <row r="56" spans="1:10">
      <c r="A56" s="1088"/>
      <c r="B56" s="1011"/>
      <c r="C56" s="1035" t="s">
        <v>605</v>
      </c>
      <c r="D56" s="1035"/>
      <c r="E56" s="1167" t="s">
        <v>606</v>
      </c>
      <c r="F56" s="1167"/>
      <c r="G56" s="1087"/>
    </row>
    <row r="57" spans="1:10">
      <c r="A57" s="1089"/>
      <c r="B57" s="1021"/>
      <c r="C57" s="1033" t="s">
        <v>406</v>
      </c>
      <c r="D57" s="1033" t="s">
        <v>407</v>
      </c>
      <c r="E57" s="1018">
        <v>0.17</v>
      </c>
      <c r="F57" s="1018">
        <v>0.83</v>
      </c>
      <c r="G57" s="1087"/>
    </row>
    <row r="58" spans="1:10" ht="38.25">
      <c r="A58" s="1090" t="s">
        <v>607</v>
      </c>
      <c r="B58" s="1036" t="s">
        <v>608</v>
      </c>
      <c r="C58" s="1037">
        <f>B54-4</f>
        <v>2011</v>
      </c>
      <c r="D58" s="1037">
        <f>B54-5</f>
        <v>2010</v>
      </c>
      <c r="E58" s="1038" t="s">
        <v>406</v>
      </c>
      <c r="F58" s="1038" t="s">
        <v>407</v>
      </c>
      <c r="G58" s="1091" t="s">
        <v>609</v>
      </c>
      <c r="H58" s="1039"/>
      <c r="I58" s="1039"/>
      <c r="J58" s="1039"/>
    </row>
    <row r="59" spans="1:10">
      <c r="A59" s="1098">
        <v>3</v>
      </c>
      <c r="B59" s="1040">
        <f>J50</f>
        <v>2.0742602486680334E-2</v>
      </c>
      <c r="C59" s="1041">
        <f>VLOOKUP(C$58,$A$8:$C$47,3,FALSE)*$B59</f>
        <v>446380.80551336077</v>
      </c>
      <c r="D59" s="1041">
        <f>VLOOKUP(D$58,$A$8:$C$47,3,FALSE)*$B59</f>
        <v>455922.40265723376</v>
      </c>
      <c r="E59" s="1041">
        <f>E$57*$C59</f>
        <v>75884.736937271329</v>
      </c>
      <c r="F59" s="1041">
        <f>F$57*$C59</f>
        <v>370496.0685760894</v>
      </c>
      <c r="G59" s="1099">
        <f>SUM(E59:F59)</f>
        <v>446380.80551336071</v>
      </c>
      <c r="H59" s="1039"/>
      <c r="I59" s="1039"/>
      <c r="J59" s="1039"/>
    </row>
    <row r="60" spans="1:10">
      <c r="A60" s="1092">
        <v>5</v>
      </c>
      <c r="B60" s="1040">
        <f>J51</f>
        <v>2.0719353857073051E-2</v>
      </c>
      <c r="C60" s="1041">
        <f>VLOOKUP(C$58,$A$8:$C$47,3,FALSE)*$B60</f>
        <v>445880.49500421208</v>
      </c>
      <c r="D60" s="1041">
        <f>VLOOKUP(D$58,$A$8:$C$47,3,FALSE)*$B60</f>
        <v>455411.39777846565</v>
      </c>
      <c r="E60" s="1042">
        <f>E$57*$C60</f>
        <v>75799.684150716057</v>
      </c>
      <c r="F60" s="1042">
        <f>F$57*$C60</f>
        <v>370080.81085349602</v>
      </c>
      <c r="G60" s="1093">
        <f>SUM(E60:F60)</f>
        <v>445880.49500421208</v>
      </c>
      <c r="H60" s="1123"/>
    </row>
    <row r="61" spans="1:10">
      <c r="A61" s="1092">
        <v>10</v>
      </c>
      <c r="B61" s="1040">
        <f>J52</f>
        <v>1.5848994091396344E-2</v>
      </c>
      <c r="C61" s="1041">
        <f>VLOOKUP(C$58,$A$8:$C$47,3,FALSE)*$B61</f>
        <v>341070.3528468493</v>
      </c>
      <c r="D61" s="1041">
        <f t="shared" ref="D61:D62" si="3">VLOOKUP(D$58,$A$8:$C$47,3,FALSE)*$B61</f>
        <v>348360.89012889162</v>
      </c>
      <c r="E61" s="1041">
        <f t="shared" ref="E61:F62" si="4">E$57*$C61</f>
        <v>57981.959983964385</v>
      </c>
      <c r="F61" s="1041">
        <f t="shared" si="4"/>
        <v>283088.39286288491</v>
      </c>
      <c r="G61" s="1099">
        <f t="shared" ref="G61:G62" si="5">SUM(E61:F61)</f>
        <v>341070.3528468493</v>
      </c>
    </row>
    <row r="62" spans="1:10">
      <c r="A62" s="1094" t="s">
        <v>405</v>
      </c>
      <c r="B62" s="1043">
        <f>J53</f>
        <v>1.3034028103626302E-2</v>
      </c>
      <c r="C62" s="1044">
        <f>VLOOKUP(C$58,$A$8:$C$47,3,FALSE)*$B62</f>
        <v>280492.28479003801</v>
      </c>
      <c r="D62" s="1044">
        <f t="shared" si="3"/>
        <v>286487.93771770608</v>
      </c>
      <c r="E62" s="1044">
        <f t="shared" si="4"/>
        <v>47683.688414306467</v>
      </c>
      <c r="F62" s="1044">
        <f t="shared" si="4"/>
        <v>232808.59637573155</v>
      </c>
      <c r="G62" s="1100">
        <f t="shared" si="5"/>
        <v>280492.28479003801</v>
      </c>
    </row>
    <row r="63" spans="1:10" ht="13.5" thickBot="1">
      <c r="A63" s="1095"/>
      <c r="B63" s="1096"/>
      <c r="C63" s="1096"/>
      <c r="D63" s="1096"/>
      <c r="E63" s="1096"/>
      <c r="F63" s="1096"/>
      <c r="G63" s="1097"/>
    </row>
  </sheetData>
  <mergeCells count="1">
    <mergeCell ref="E56:F56"/>
  </mergeCell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4">
    <tabColor rgb="FF92D050"/>
  </sheetPr>
  <dimension ref="A1:V70"/>
  <sheetViews>
    <sheetView zoomScale="75" workbookViewId="0">
      <pane ySplit="7" topLeftCell="A26" activePane="bottomLeft" state="frozen"/>
      <selection activeCell="W48" sqref="W48"/>
      <selection pane="bottomLeft" activeCell="C61" sqref="C61"/>
    </sheetView>
  </sheetViews>
  <sheetFormatPr defaultColWidth="9.6640625" defaultRowHeight="15"/>
  <cols>
    <col min="1" max="1" width="7.88671875" customWidth="1"/>
    <col min="2" max="2" width="6.6640625" customWidth="1"/>
    <col min="3" max="3" width="8.88671875" customWidth="1"/>
    <col min="4" max="4" width="11.21875" customWidth="1"/>
    <col min="5" max="5" width="10.109375" customWidth="1"/>
    <col min="6" max="6" width="9.77734375" customWidth="1"/>
    <col min="7" max="8" width="7.6640625" customWidth="1"/>
    <col min="9" max="9" width="12.33203125" bestFit="1" customWidth="1"/>
    <col min="10" max="10" width="9.6640625" customWidth="1"/>
    <col min="11" max="11" width="8.6640625" customWidth="1"/>
    <col min="12" max="12" width="11.21875" customWidth="1"/>
    <col min="13" max="13" width="5.6640625" customWidth="1"/>
    <col min="14" max="15" width="6.6640625" customWidth="1"/>
    <col min="16" max="16" width="9.77734375" bestFit="1" customWidth="1"/>
    <col min="17" max="17" width="13.77734375" customWidth="1"/>
    <col min="19" max="19" width="13" customWidth="1"/>
  </cols>
  <sheetData>
    <row r="1" spans="1:22" ht="30">
      <c r="A1" s="113" t="s">
        <v>614</v>
      </c>
    </row>
    <row r="3" spans="1:22">
      <c r="A3">
        <v>1</v>
      </c>
      <c r="B3">
        <v>2</v>
      </c>
      <c r="C3">
        <v>3</v>
      </c>
      <c r="D3">
        <v>4</v>
      </c>
      <c r="E3">
        <v>5</v>
      </c>
      <c r="F3">
        <v>6</v>
      </c>
      <c r="G3">
        <v>7</v>
      </c>
      <c r="H3">
        <v>8</v>
      </c>
      <c r="I3">
        <v>9</v>
      </c>
      <c r="J3">
        <v>10</v>
      </c>
      <c r="K3">
        <v>11</v>
      </c>
      <c r="L3">
        <v>12</v>
      </c>
      <c r="M3">
        <v>13</v>
      </c>
      <c r="N3">
        <v>14</v>
      </c>
      <c r="O3">
        <v>15</v>
      </c>
    </row>
    <row r="4" spans="1:22" ht="15.75" thickBot="1">
      <c r="A4" t="s">
        <v>305</v>
      </c>
    </row>
    <row r="5" spans="1:22">
      <c r="A5" s="228"/>
      <c r="B5" s="229" t="s">
        <v>409</v>
      </c>
      <c r="C5" s="229"/>
      <c r="D5" s="229"/>
      <c r="E5" s="229"/>
      <c r="F5" s="229"/>
      <c r="G5" s="229"/>
      <c r="H5" s="229"/>
      <c r="I5" s="229"/>
      <c r="J5" s="229"/>
      <c r="K5" s="229"/>
      <c r="L5" s="229"/>
      <c r="M5" s="229"/>
      <c r="N5" s="229"/>
      <c r="O5" s="229"/>
      <c r="P5" s="229"/>
      <c r="Q5" s="229"/>
      <c r="R5" s="229"/>
      <c r="S5" s="647" t="s">
        <v>360</v>
      </c>
    </row>
    <row r="6" spans="1:22">
      <c r="A6" s="870" t="s">
        <v>23</v>
      </c>
      <c r="B6" s="83" t="s">
        <v>122</v>
      </c>
      <c r="C6" s="73" t="s">
        <v>123</v>
      </c>
      <c r="D6" s="114"/>
      <c r="E6" s="73" t="s">
        <v>124</v>
      </c>
      <c r="F6" s="115"/>
      <c r="G6" s="114"/>
      <c r="H6" s="73" t="s">
        <v>125</v>
      </c>
      <c r="I6" s="115"/>
      <c r="J6" s="114"/>
      <c r="K6" s="73" t="s">
        <v>126</v>
      </c>
      <c r="L6" s="115"/>
      <c r="M6" s="114"/>
      <c r="N6" s="73" t="s">
        <v>127</v>
      </c>
      <c r="O6" s="115"/>
      <c r="P6" s="114"/>
      <c r="Q6" s="83"/>
      <c r="R6" s="89" t="s">
        <v>23</v>
      </c>
      <c r="S6" s="394" t="s">
        <v>131</v>
      </c>
    </row>
    <row r="7" spans="1:22">
      <c r="A7" s="870" t="s">
        <v>27</v>
      </c>
      <c r="B7" s="86" t="s">
        <v>224</v>
      </c>
      <c r="C7" s="91" t="s">
        <v>225</v>
      </c>
      <c r="D7" s="91" t="s">
        <v>226</v>
      </c>
      <c r="E7" s="91" t="s">
        <v>227</v>
      </c>
      <c r="F7" s="91" t="s">
        <v>228</v>
      </c>
      <c r="G7" s="91" t="s">
        <v>229</v>
      </c>
      <c r="H7" s="91" t="s">
        <v>230</v>
      </c>
      <c r="I7" s="91" t="s">
        <v>231</v>
      </c>
      <c r="J7" s="91" t="s">
        <v>232</v>
      </c>
      <c r="K7" s="91" t="s">
        <v>233</v>
      </c>
      <c r="L7" s="91" t="s">
        <v>234</v>
      </c>
      <c r="M7" s="91" t="s">
        <v>235</v>
      </c>
      <c r="N7" s="91" t="s">
        <v>236</v>
      </c>
      <c r="O7" s="91" t="s">
        <v>237</v>
      </c>
      <c r="P7" s="91" t="s">
        <v>238</v>
      </c>
      <c r="Q7" s="86" t="s">
        <v>128</v>
      </c>
      <c r="R7" s="86" t="s">
        <v>27</v>
      </c>
      <c r="S7" s="395" t="s">
        <v>129</v>
      </c>
      <c r="T7" s="659" t="s">
        <v>367</v>
      </c>
      <c r="U7" s="780" t="s">
        <v>528</v>
      </c>
    </row>
    <row r="8" spans="1:22">
      <c r="A8" s="618">
        <v>1958</v>
      </c>
      <c r="B8" s="619"/>
      <c r="C8" s="620"/>
      <c r="D8" s="621"/>
      <c r="E8" s="622"/>
      <c r="F8" s="620"/>
      <c r="G8" s="621"/>
      <c r="H8" s="622"/>
      <c r="I8" s="620"/>
      <c r="J8" s="621"/>
      <c r="K8" s="622"/>
      <c r="L8" s="620"/>
      <c r="M8" s="621"/>
      <c r="N8" s="623">
        <v>0</v>
      </c>
      <c r="O8" s="624">
        <v>0</v>
      </c>
      <c r="P8" s="625">
        <v>0</v>
      </c>
      <c r="Q8" s="626"/>
      <c r="R8" s="627">
        <v>1958</v>
      </c>
      <c r="S8" s="628"/>
    </row>
    <row r="9" spans="1:22">
      <c r="A9" s="629">
        <v>1959</v>
      </c>
      <c r="B9" s="630"/>
      <c r="C9" s="631"/>
      <c r="D9" s="632"/>
      <c r="E9" s="633"/>
      <c r="F9" s="631"/>
      <c r="G9" s="632"/>
      <c r="H9" s="633"/>
      <c r="I9" s="631"/>
      <c r="J9" s="632"/>
      <c r="K9" s="634">
        <v>0</v>
      </c>
      <c r="L9" s="635">
        <v>226784.92710427393</v>
      </c>
      <c r="M9" s="636">
        <v>0</v>
      </c>
      <c r="N9" s="634">
        <v>0</v>
      </c>
      <c r="O9" s="635">
        <v>0</v>
      </c>
      <c r="P9" s="636">
        <v>0</v>
      </c>
      <c r="Q9" s="626"/>
      <c r="R9" s="637">
        <v>1959</v>
      </c>
      <c r="S9" s="638"/>
    </row>
    <row r="10" spans="1:22">
      <c r="A10" s="629">
        <v>1960</v>
      </c>
      <c r="B10" s="630"/>
      <c r="C10" s="631"/>
      <c r="D10" s="632"/>
      <c r="E10" s="633"/>
      <c r="F10" s="631"/>
      <c r="G10" s="632"/>
      <c r="H10" s="634">
        <v>0</v>
      </c>
      <c r="I10" s="635">
        <v>692291.99718119414</v>
      </c>
      <c r="J10" s="636">
        <v>35808.691019143684</v>
      </c>
      <c r="K10" s="634">
        <v>1402.2284137507002</v>
      </c>
      <c r="L10" s="635">
        <v>47693.868321127309</v>
      </c>
      <c r="M10" s="636">
        <v>0</v>
      </c>
      <c r="N10" s="634">
        <v>0</v>
      </c>
      <c r="O10" s="635">
        <v>0</v>
      </c>
      <c r="P10" s="636">
        <v>0</v>
      </c>
      <c r="Q10" s="626"/>
      <c r="R10" s="637">
        <v>1960</v>
      </c>
      <c r="S10" s="638"/>
    </row>
    <row r="11" spans="1:22">
      <c r="A11" s="629">
        <v>1961</v>
      </c>
      <c r="B11" s="630"/>
      <c r="C11" s="631"/>
      <c r="D11" s="632"/>
      <c r="E11" s="634">
        <v>71615.903745300515</v>
      </c>
      <c r="F11" s="635">
        <v>179040.49850974398</v>
      </c>
      <c r="G11" s="636">
        <v>1192.9824403438433</v>
      </c>
      <c r="H11" s="634">
        <v>8416.1554445970542</v>
      </c>
      <c r="I11" s="635">
        <v>1182522.7542456505</v>
      </c>
      <c r="J11" s="636">
        <v>8416.1554445970542</v>
      </c>
      <c r="K11" s="634">
        <v>1394.3686293339142</v>
      </c>
      <c r="L11" s="635">
        <v>13577.697815812178</v>
      </c>
      <c r="M11" s="636">
        <v>0</v>
      </c>
      <c r="N11" s="634">
        <v>0</v>
      </c>
      <c r="O11" s="635">
        <v>0</v>
      </c>
      <c r="P11" s="636">
        <v>0</v>
      </c>
      <c r="Q11" s="639">
        <v>1466176.5162753791</v>
      </c>
      <c r="R11" s="637">
        <v>1961</v>
      </c>
      <c r="S11" s="638">
        <v>343140.4274872489</v>
      </c>
      <c r="U11" s="440">
        <f t="shared" ref="U11:U56" si="0">RANK(F11,$F$11:$F$64)</f>
        <v>31</v>
      </c>
      <c r="V11" s="275"/>
    </row>
    <row r="12" spans="1:22">
      <c r="A12" s="640">
        <v>1962</v>
      </c>
      <c r="B12" s="630"/>
      <c r="C12" s="635">
        <v>0</v>
      </c>
      <c r="D12" s="635">
        <v>14503.370800193386</v>
      </c>
      <c r="E12" s="634">
        <v>47693.868321127309</v>
      </c>
      <c r="F12" s="635">
        <v>102401.66367310109</v>
      </c>
      <c r="G12" s="636">
        <v>1402.2284137507002</v>
      </c>
      <c r="H12" s="634">
        <v>0</v>
      </c>
      <c r="I12" s="635">
        <v>560800.76741469896</v>
      </c>
      <c r="J12" s="636">
        <v>9730.8429891859741</v>
      </c>
      <c r="K12" s="634">
        <v>2760.7429571064249</v>
      </c>
      <c r="L12" s="635">
        <v>27892.785037503665</v>
      </c>
      <c r="M12" s="636">
        <v>0</v>
      </c>
      <c r="N12" s="634">
        <v>0</v>
      </c>
      <c r="O12" s="635">
        <v>0</v>
      </c>
      <c r="P12" s="636">
        <v>0</v>
      </c>
      <c r="Q12" s="639">
        <v>767186.26960666757</v>
      </c>
      <c r="R12" s="100">
        <v>1962</v>
      </c>
      <c r="S12" s="638">
        <v>416093.18072477408</v>
      </c>
      <c r="U12" s="440">
        <f t="shared" si="0"/>
        <v>41</v>
      </c>
    </row>
    <row r="13" spans="1:22">
      <c r="A13" s="640">
        <v>1963</v>
      </c>
      <c r="B13" s="641">
        <v>0</v>
      </c>
      <c r="C13" s="635">
        <v>1717.6810329433952</v>
      </c>
      <c r="D13" s="635">
        <v>12894.07414217453</v>
      </c>
      <c r="E13" s="634">
        <v>4236.0565954447939</v>
      </c>
      <c r="F13" s="635">
        <v>97592.469650151805</v>
      </c>
      <c r="G13" s="636">
        <v>0</v>
      </c>
      <c r="H13" s="634">
        <v>0</v>
      </c>
      <c r="I13" s="635">
        <v>491920.16191207559</v>
      </c>
      <c r="J13" s="636">
        <v>11635.393626492296</v>
      </c>
      <c r="K13" s="634">
        <v>1062.4779863192002</v>
      </c>
      <c r="L13" s="635">
        <v>9522.4859080815004</v>
      </c>
      <c r="M13" s="636">
        <v>0</v>
      </c>
      <c r="N13" s="634">
        <v>0</v>
      </c>
      <c r="O13" s="635">
        <v>151.34067638488452</v>
      </c>
      <c r="P13" s="636">
        <v>0</v>
      </c>
      <c r="Q13" s="639">
        <v>630732.14153006801</v>
      </c>
      <c r="R13" s="100">
        <v>1963</v>
      </c>
      <c r="S13" s="638">
        <v>271007.35305366298</v>
      </c>
      <c r="U13" s="440">
        <f t="shared" si="0"/>
        <v>44</v>
      </c>
    </row>
    <row r="14" spans="1:22">
      <c r="A14" s="640">
        <v>1964</v>
      </c>
      <c r="B14" s="641">
        <v>0</v>
      </c>
      <c r="C14" s="635">
        <v>0</v>
      </c>
      <c r="D14" s="635">
        <v>428.79690537223053</v>
      </c>
      <c r="E14" s="634">
        <v>6361.0343934533639</v>
      </c>
      <c r="F14" s="635">
        <v>290718.45227450889</v>
      </c>
      <c r="G14" s="636">
        <v>0</v>
      </c>
      <c r="H14" s="634">
        <v>151.47122061371087</v>
      </c>
      <c r="I14" s="635">
        <v>836133.8820333922</v>
      </c>
      <c r="J14" s="636">
        <v>23028.814069610569</v>
      </c>
      <c r="K14" s="634">
        <v>5922.5580201531502</v>
      </c>
      <c r="L14" s="635">
        <v>24854.351915700765</v>
      </c>
      <c r="M14" s="636">
        <v>0</v>
      </c>
      <c r="N14" s="634">
        <v>0</v>
      </c>
      <c r="O14" s="635">
        <v>0</v>
      </c>
      <c r="P14" s="636">
        <v>243.21333065567018</v>
      </c>
      <c r="Q14" s="639">
        <v>1187842.5741634604</v>
      </c>
      <c r="R14" s="100">
        <v>1964</v>
      </c>
      <c r="S14" s="638">
        <v>233990.19926972012</v>
      </c>
      <c r="U14" s="440">
        <f t="shared" si="0"/>
        <v>18</v>
      </c>
    </row>
    <row r="15" spans="1:22">
      <c r="A15" s="640">
        <v>1965</v>
      </c>
      <c r="B15" s="641">
        <v>0</v>
      </c>
      <c r="C15" s="635">
        <v>604.10285032127808</v>
      </c>
      <c r="D15" s="635">
        <v>1603.3269485384492</v>
      </c>
      <c r="E15" s="634">
        <v>379.22291204008309</v>
      </c>
      <c r="F15" s="635">
        <v>386377.08528941998</v>
      </c>
      <c r="G15" s="636">
        <v>0</v>
      </c>
      <c r="H15" s="634">
        <v>0</v>
      </c>
      <c r="I15" s="635">
        <v>1126848.439217363</v>
      </c>
      <c r="J15" s="636">
        <v>25570.264338042718</v>
      </c>
      <c r="K15" s="634">
        <v>3233.3106850027498</v>
      </c>
      <c r="L15" s="635">
        <v>242501.46167938894</v>
      </c>
      <c r="M15" s="636">
        <v>0</v>
      </c>
      <c r="N15" s="634">
        <v>0</v>
      </c>
      <c r="O15" s="635">
        <v>1305.158688256198</v>
      </c>
      <c r="P15" s="636">
        <v>2088.4971740315818</v>
      </c>
      <c r="Q15" s="639">
        <v>1790510.8697824052</v>
      </c>
      <c r="R15" s="100">
        <v>1965</v>
      </c>
      <c r="S15" s="638">
        <v>373563.22002911044</v>
      </c>
      <c r="U15" s="440">
        <f t="shared" si="0"/>
        <v>10</v>
      </c>
    </row>
    <row r="16" spans="1:22">
      <c r="A16" s="640">
        <v>1966</v>
      </c>
      <c r="B16" s="641">
        <v>0</v>
      </c>
      <c r="C16" s="635">
        <v>932.63178685723972</v>
      </c>
      <c r="D16" s="635">
        <v>66.92879366570692</v>
      </c>
      <c r="E16" s="634">
        <v>4184.0350749933223</v>
      </c>
      <c r="F16" s="635">
        <v>302159.62071066484</v>
      </c>
      <c r="G16" s="636">
        <v>151.34067638488452</v>
      </c>
      <c r="H16" s="634">
        <v>0</v>
      </c>
      <c r="I16" s="635">
        <v>886578.61449924554</v>
      </c>
      <c r="J16" s="636">
        <v>14517.766092942984</v>
      </c>
      <c r="K16" s="634">
        <v>4029.925785915173</v>
      </c>
      <c r="L16" s="635">
        <v>280325.15607490181</v>
      </c>
      <c r="M16" s="636">
        <v>0</v>
      </c>
      <c r="N16" s="634">
        <v>0</v>
      </c>
      <c r="O16" s="635">
        <v>0</v>
      </c>
      <c r="P16" s="636">
        <v>0</v>
      </c>
      <c r="Q16" s="639">
        <v>1492946.0194955715</v>
      </c>
      <c r="R16" s="100">
        <v>1966</v>
      </c>
      <c r="S16" s="638">
        <v>374673.10456808144</v>
      </c>
      <c r="U16" s="440">
        <f t="shared" si="0"/>
        <v>15</v>
      </c>
    </row>
    <row r="17" spans="1:21">
      <c r="A17" s="640">
        <v>1967</v>
      </c>
      <c r="B17" s="641">
        <v>0</v>
      </c>
      <c r="C17" s="635">
        <v>1048.7488775917957</v>
      </c>
      <c r="D17" s="635">
        <v>1688.7086939265012</v>
      </c>
      <c r="E17" s="634">
        <v>2323.2100230410065</v>
      </c>
      <c r="F17" s="635">
        <v>97321.711125474932</v>
      </c>
      <c r="G17" s="636">
        <v>243.21333065567018</v>
      </c>
      <c r="H17" s="634">
        <v>469.51654582189349</v>
      </c>
      <c r="I17" s="635">
        <v>707854.19432154007</v>
      </c>
      <c r="J17" s="636">
        <v>8920.9067780155819</v>
      </c>
      <c r="K17" s="634">
        <v>0</v>
      </c>
      <c r="L17" s="635">
        <v>51477.233762799864</v>
      </c>
      <c r="M17" s="636">
        <v>0</v>
      </c>
      <c r="N17" s="634">
        <v>0</v>
      </c>
      <c r="O17" s="635">
        <v>0</v>
      </c>
      <c r="P17" s="636">
        <v>0</v>
      </c>
      <c r="Q17" s="639">
        <v>871347.44345886726</v>
      </c>
      <c r="R17" s="100">
        <v>1967</v>
      </c>
      <c r="S17" s="638">
        <v>152518.20574374442</v>
      </c>
      <c r="U17" s="440">
        <f t="shared" si="0"/>
        <v>45</v>
      </c>
    </row>
    <row r="18" spans="1:21">
      <c r="A18" s="640">
        <v>1968</v>
      </c>
      <c r="B18" s="641">
        <v>0</v>
      </c>
      <c r="C18" s="635">
        <v>1555.3724171153767</v>
      </c>
      <c r="D18" s="635">
        <v>2130.1268164769431</v>
      </c>
      <c r="E18" s="634">
        <v>17573.119769802408</v>
      </c>
      <c r="F18" s="635">
        <v>145881.52486171451</v>
      </c>
      <c r="G18" s="636">
        <v>0</v>
      </c>
      <c r="H18" s="634">
        <v>0</v>
      </c>
      <c r="I18" s="635">
        <v>592986.4878251045</v>
      </c>
      <c r="J18" s="636">
        <v>14396.979946877575</v>
      </c>
      <c r="K18" s="634">
        <v>2686.8659102738975</v>
      </c>
      <c r="L18" s="635">
        <v>66910.348679015195</v>
      </c>
      <c r="M18" s="636">
        <v>0</v>
      </c>
      <c r="N18" s="634">
        <v>0</v>
      </c>
      <c r="O18" s="635">
        <v>0</v>
      </c>
      <c r="P18" s="636">
        <v>149.85136094392175</v>
      </c>
      <c r="Q18" s="639">
        <v>844270.67758732417</v>
      </c>
      <c r="R18" s="100">
        <v>1968</v>
      </c>
      <c r="S18" s="638">
        <v>234701.76831870052</v>
      </c>
      <c r="U18" s="440">
        <f t="shared" si="0"/>
        <v>35</v>
      </c>
    </row>
    <row r="19" spans="1:21">
      <c r="A19" s="640">
        <v>1969</v>
      </c>
      <c r="B19" s="641">
        <v>0</v>
      </c>
      <c r="C19" s="635">
        <v>0</v>
      </c>
      <c r="D19" s="635">
        <v>2003.6619467271901</v>
      </c>
      <c r="E19" s="634">
        <v>25478.999999999985</v>
      </c>
      <c r="F19" s="635">
        <v>101514.29846521815</v>
      </c>
      <c r="G19" s="636">
        <v>0</v>
      </c>
      <c r="H19" s="634">
        <v>314.65333979785919</v>
      </c>
      <c r="I19" s="635">
        <v>638486.34876982134</v>
      </c>
      <c r="J19" s="636">
        <v>43304.50790418018</v>
      </c>
      <c r="K19" s="634">
        <v>757.06156310210758</v>
      </c>
      <c r="L19" s="635">
        <v>107192.1125768756</v>
      </c>
      <c r="M19" s="636">
        <v>0</v>
      </c>
      <c r="N19" s="634">
        <v>0</v>
      </c>
      <c r="O19" s="635">
        <v>0</v>
      </c>
      <c r="P19" s="636">
        <v>0</v>
      </c>
      <c r="Q19" s="639">
        <v>919051.64456572244</v>
      </c>
      <c r="R19" s="100">
        <v>1969</v>
      </c>
      <c r="S19" s="638">
        <v>527822.37255732983</v>
      </c>
      <c r="U19" s="440">
        <f t="shared" si="0"/>
        <v>42</v>
      </c>
    </row>
    <row r="20" spans="1:21">
      <c r="A20" s="640">
        <v>1970</v>
      </c>
      <c r="B20" s="641">
        <v>0</v>
      </c>
      <c r="C20" s="635">
        <v>8415.1073745845188</v>
      </c>
      <c r="D20" s="635">
        <v>24205.142110078956</v>
      </c>
      <c r="E20" s="634">
        <v>7081.0682034509573</v>
      </c>
      <c r="F20" s="635">
        <v>83934.462420078504</v>
      </c>
      <c r="G20" s="636">
        <v>31.465333979785921</v>
      </c>
      <c r="H20" s="634">
        <v>0</v>
      </c>
      <c r="I20" s="635">
        <v>346614.00262167363</v>
      </c>
      <c r="J20" s="636">
        <v>15225.522652573043</v>
      </c>
      <c r="K20" s="634">
        <v>1745.9354876396906</v>
      </c>
      <c r="L20" s="635">
        <v>27802.081981397347</v>
      </c>
      <c r="M20" s="636">
        <v>455.23261395880382</v>
      </c>
      <c r="N20" s="634">
        <v>0</v>
      </c>
      <c r="O20" s="635">
        <v>0</v>
      </c>
      <c r="P20" s="636">
        <v>0</v>
      </c>
      <c r="Q20" s="639">
        <v>515510.0207994153</v>
      </c>
      <c r="R20" s="100">
        <v>1970</v>
      </c>
      <c r="S20" s="638">
        <v>329729.48946597357</v>
      </c>
      <c r="U20" s="440">
        <f t="shared" si="0"/>
        <v>46</v>
      </c>
    </row>
    <row r="21" spans="1:21">
      <c r="A21" s="640">
        <v>1971</v>
      </c>
      <c r="B21" s="641">
        <v>0</v>
      </c>
      <c r="C21" s="635">
        <v>740.64952573521225</v>
      </c>
      <c r="D21" s="635">
        <v>1316.9891180949446</v>
      </c>
      <c r="E21" s="634">
        <v>3273.3156656187944</v>
      </c>
      <c r="F21" s="635">
        <v>48348.917227885802</v>
      </c>
      <c r="G21" s="636">
        <v>0</v>
      </c>
      <c r="H21" s="634">
        <v>0</v>
      </c>
      <c r="I21" s="635">
        <v>940919.76351097296</v>
      </c>
      <c r="J21" s="636">
        <v>9694.0864151689784</v>
      </c>
      <c r="K21" s="634">
        <v>8662.2575356646121</v>
      </c>
      <c r="L21" s="635">
        <v>84399.273431889495</v>
      </c>
      <c r="M21" s="636">
        <v>0</v>
      </c>
      <c r="N21" s="634">
        <v>0</v>
      </c>
      <c r="O21" s="635">
        <v>0</v>
      </c>
      <c r="P21" s="636">
        <v>0</v>
      </c>
      <c r="Q21" s="639">
        <v>1097355.2524310309</v>
      </c>
      <c r="R21" s="100">
        <v>1971</v>
      </c>
      <c r="S21" s="638">
        <v>585402.09872581216</v>
      </c>
      <c r="U21" s="440">
        <f t="shared" si="0"/>
        <v>49</v>
      </c>
    </row>
    <row r="22" spans="1:21">
      <c r="A22" s="640">
        <v>1972</v>
      </c>
      <c r="B22" s="641">
        <v>0</v>
      </c>
      <c r="C22" s="635">
        <v>1105.0508616488651</v>
      </c>
      <c r="D22" s="635">
        <v>1050.2407834862013</v>
      </c>
      <c r="E22" s="634">
        <v>12447.849019260784</v>
      </c>
      <c r="F22" s="635">
        <v>140037.97254138521</v>
      </c>
      <c r="G22" s="636">
        <v>910.46522791760765</v>
      </c>
      <c r="H22" s="634">
        <v>0</v>
      </c>
      <c r="I22" s="635">
        <v>846188.38728043251</v>
      </c>
      <c r="J22" s="636">
        <v>7117.1684145828576</v>
      </c>
      <c r="K22" s="634">
        <v>1870.2419684120191</v>
      </c>
      <c r="L22" s="635">
        <v>33678.805424549719</v>
      </c>
      <c r="M22" s="636">
        <v>0</v>
      </c>
      <c r="N22" s="634">
        <v>0</v>
      </c>
      <c r="O22" s="635">
        <v>0</v>
      </c>
      <c r="P22" s="636">
        <v>0</v>
      </c>
      <c r="Q22" s="639">
        <v>1044406.1815216758</v>
      </c>
      <c r="R22" s="100">
        <v>1972</v>
      </c>
      <c r="S22" s="638">
        <v>408348.74565424217</v>
      </c>
      <c r="U22" s="440">
        <f t="shared" si="0"/>
        <v>37</v>
      </c>
    </row>
    <row r="23" spans="1:21">
      <c r="A23" s="640">
        <v>1973</v>
      </c>
      <c r="B23" s="641">
        <v>0</v>
      </c>
      <c r="C23" s="635">
        <v>2993.2049594594878</v>
      </c>
      <c r="D23" s="635">
        <v>1526.6333920158568</v>
      </c>
      <c r="E23" s="634">
        <v>27374.099996765071</v>
      </c>
      <c r="F23" s="639">
        <v>30330.912651635219</v>
      </c>
      <c r="G23" s="636">
        <v>0</v>
      </c>
      <c r="H23" s="634">
        <v>0</v>
      </c>
      <c r="I23" s="639">
        <v>297364.96532358415</v>
      </c>
      <c r="J23" s="636">
        <v>18712.741107786904</v>
      </c>
      <c r="K23" s="634">
        <v>0</v>
      </c>
      <c r="L23" s="635">
        <v>83550.106051407231</v>
      </c>
      <c r="M23" s="636">
        <v>0</v>
      </c>
      <c r="N23" s="634">
        <v>0</v>
      </c>
      <c r="O23" s="635">
        <v>0</v>
      </c>
      <c r="P23" s="636">
        <v>0</v>
      </c>
      <c r="Q23" s="639">
        <v>461852.66348265391</v>
      </c>
      <c r="R23" s="100">
        <v>1973</v>
      </c>
      <c r="S23" s="638">
        <v>432244.89386258059</v>
      </c>
      <c r="U23" s="440">
        <f t="shared" si="0"/>
        <v>50</v>
      </c>
    </row>
    <row r="24" spans="1:21">
      <c r="A24" s="640">
        <v>1974</v>
      </c>
      <c r="B24" s="641">
        <v>0</v>
      </c>
      <c r="C24" s="635">
        <v>548.40546129973586</v>
      </c>
      <c r="D24" s="635">
        <v>7552.185255105921</v>
      </c>
      <c r="E24" s="634">
        <v>7173.3894483794302</v>
      </c>
      <c r="F24" s="635">
        <v>154457.91935439411</v>
      </c>
      <c r="G24" s="636">
        <v>2.0642847333465979</v>
      </c>
      <c r="H24" s="634">
        <v>0</v>
      </c>
      <c r="I24" s="635">
        <v>442734.39909796033</v>
      </c>
      <c r="J24" s="636">
        <v>19045.427762092004</v>
      </c>
      <c r="K24" s="634">
        <v>2680.3209449690089</v>
      </c>
      <c r="L24" s="635">
        <v>30063.059247625344</v>
      </c>
      <c r="M24" s="636">
        <v>0</v>
      </c>
      <c r="N24" s="634">
        <v>0</v>
      </c>
      <c r="O24" s="635">
        <v>0</v>
      </c>
      <c r="P24" s="636">
        <v>1332.7932932086783</v>
      </c>
      <c r="Q24" s="639">
        <v>665589.96414976777</v>
      </c>
      <c r="R24" s="100">
        <v>1974</v>
      </c>
      <c r="S24" s="638">
        <v>209834.48285271373</v>
      </c>
      <c r="U24" s="440">
        <f t="shared" si="0"/>
        <v>34</v>
      </c>
    </row>
    <row r="25" spans="1:21">
      <c r="A25" s="640">
        <v>1975</v>
      </c>
      <c r="B25" s="641">
        <v>0</v>
      </c>
      <c r="C25" s="635">
        <v>11.538919019497669</v>
      </c>
      <c r="D25" s="635">
        <v>986.21043066018365</v>
      </c>
      <c r="E25" s="634">
        <v>10490.596275512966</v>
      </c>
      <c r="F25" s="635">
        <v>68722.812745743839</v>
      </c>
      <c r="G25" s="636">
        <v>0</v>
      </c>
      <c r="H25" s="634">
        <v>0</v>
      </c>
      <c r="I25" s="635">
        <v>410835.62987088464</v>
      </c>
      <c r="J25" s="636">
        <v>30063.059247625344</v>
      </c>
      <c r="K25" s="634">
        <v>0</v>
      </c>
      <c r="L25" s="635">
        <v>66636.927918558882</v>
      </c>
      <c r="M25" s="636">
        <v>0</v>
      </c>
      <c r="N25" s="634">
        <v>0</v>
      </c>
      <c r="O25" s="635">
        <v>0</v>
      </c>
      <c r="P25" s="636">
        <v>35.54394562018593</v>
      </c>
      <c r="Q25" s="639">
        <v>587782.31935362553</v>
      </c>
      <c r="R25" s="100">
        <v>1975</v>
      </c>
      <c r="S25" s="638">
        <v>172586.43317981472</v>
      </c>
      <c r="U25" s="440">
        <f t="shared" si="0"/>
        <v>48</v>
      </c>
    </row>
    <row r="26" spans="1:21">
      <c r="A26" s="640">
        <v>1976</v>
      </c>
      <c r="B26" s="641">
        <v>0</v>
      </c>
      <c r="C26" s="635">
        <v>4.6119970666103276</v>
      </c>
      <c r="D26" s="635">
        <v>4292.0722179887089</v>
      </c>
      <c r="E26" s="634">
        <v>5360.6418899380178</v>
      </c>
      <c r="F26" s="635">
        <v>173715.68474284798</v>
      </c>
      <c r="G26" s="636">
        <v>0</v>
      </c>
      <c r="H26" s="634">
        <v>0</v>
      </c>
      <c r="I26" s="635">
        <v>897075.92530656559</v>
      </c>
      <c r="J26" s="636">
        <v>11995.13963887812</v>
      </c>
      <c r="K26" s="634">
        <v>1851.2235515194193</v>
      </c>
      <c r="L26" s="635">
        <v>76883.841078144047</v>
      </c>
      <c r="M26" s="636">
        <v>39.493272911317767</v>
      </c>
      <c r="N26" s="634">
        <v>0</v>
      </c>
      <c r="O26" s="635">
        <v>0</v>
      </c>
      <c r="P26" s="636">
        <v>0</v>
      </c>
      <c r="Q26" s="639">
        <v>1171218.6336958599</v>
      </c>
      <c r="R26" s="100">
        <v>1976</v>
      </c>
      <c r="S26" s="638">
        <v>248496.46908689401</v>
      </c>
      <c r="U26" s="440">
        <f t="shared" si="0"/>
        <v>32</v>
      </c>
    </row>
    <row r="27" spans="1:21">
      <c r="A27" s="640">
        <v>1977</v>
      </c>
      <c r="B27" s="641">
        <v>0</v>
      </c>
      <c r="C27" s="635">
        <v>5360.6418899380178</v>
      </c>
      <c r="D27" s="635">
        <v>5360.6418899380178</v>
      </c>
      <c r="E27" s="634">
        <v>206574.75022171927</v>
      </c>
      <c r="F27" s="635">
        <v>135148.94242353513</v>
      </c>
      <c r="G27" s="636">
        <v>0</v>
      </c>
      <c r="H27" s="634">
        <v>0</v>
      </c>
      <c r="I27" s="635">
        <v>1351823.9406582871</v>
      </c>
      <c r="J27" s="636">
        <v>25753.29183741381</v>
      </c>
      <c r="K27" s="634">
        <v>1532.2560493135638</v>
      </c>
      <c r="L27" s="635">
        <v>143559.06804372478</v>
      </c>
      <c r="M27" s="636">
        <v>0</v>
      </c>
      <c r="N27" s="634">
        <v>0</v>
      </c>
      <c r="O27" s="635">
        <v>283.18588293086248</v>
      </c>
      <c r="P27" s="636">
        <v>728.47817234511717</v>
      </c>
      <c r="Q27" s="639">
        <v>1876125.1970691457</v>
      </c>
      <c r="R27" s="100">
        <v>1977</v>
      </c>
      <c r="S27" s="638">
        <v>357096.4249518197</v>
      </c>
      <c r="U27" s="440">
        <f t="shared" si="0"/>
        <v>38</v>
      </c>
    </row>
    <row r="28" spans="1:21">
      <c r="A28" s="640">
        <v>1978</v>
      </c>
      <c r="B28" s="641">
        <v>0</v>
      </c>
      <c r="C28" s="635">
        <v>5156.6596589333894</v>
      </c>
      <c r="D28" s="635">
        <v>79535.13866318154</v>
      </c>
      <c r="E28" s="634">
        <v>49451.536070921153</v>
      </c>
      <c r="F28" s="639">
        <v>359995.48750384717</v>
      </c>
      <c r="G28" s="636">
        <v>124.40380967065038</v>
      </c>
      <c r="H28" s="634">
        <v>65.362721435402349</v>
      </c>
      <c r="I28" s="639">
        <v>817109.74979398493</v>
      </c>
      <c r="J28" s="636">
        <v>30862.418481763816</v>
      </c>
      <c r="K28" s="634">
        <v>2280.7731817220961</v>
      </c>
      <c r="L28" s="635">
        <v>137639.34485561514</v>
      </c>
      <c r="M28" s="636">
        <v>566.37176586172586</v>
      </c>
      <c r="N28" s="634">
        <v>476.40449689195526</v>
      </c>
      <c r="O28" s="635">
        <v>644.11090618035826</v>
      </c>
      <c r="P28" s="636">
        <v>0</v>
      </c>
      <c r="Q28" s="639">
        <v>1483907.7619100094</v>
      </c>
      <c r="R28" s="100">
        <v>1978</v>
      </c>
      <c r="S28" s="638">
        <v>234393.70547443983</v>
      </c>
      <c r="U28" s="440">
        <f t="shared" si="0"/>
        <v>11</v>
      </c>
    </row>
    <row r="29" spans="1:21">
      <c r="A29" s="640">
        <v>1979</v>
      </c>
      <c r="B29" s="641">
        <v>0</v>
      </c>
      <c r="C29" s="635">
        <v>24216.593045202982</v>
      </c>
      <c r="D29" s="635">
        <v>16869.513332793169</v>
      </c>
      <c r="E29" s="634">
        <v>81377.595887697578</v>
      </c>
      <c r="F29" s="639">
        <v>346502.19282529014</v>
      </c>
      <c r="G29" s="636">
        <v>189.16879493134908</v>
      </c>
      <c r="H29" s="634">
        <v>175.11494527526887</v>
      </c>
      <c r="I29" s="639">
        <v>1424421.7932741994</v>
      </c>
      <c r="J29" s="636">
        <v>16495.369513287449</v>
      </c>
      <c r="K29" s="634">
        <v>12281.719500893463</v>
      </c>
      <c r="L29" s="635">
        <v>169244.34278971035</v>
      </c>
      <c r="M29" s="636">
        <v>0</v>
      </c>
      <c r="N29" s="634">
        <v>0</v>
      </c>
      <c r="O29" s="635">
        <v>152.00194670136537</v>
      </c>
      <c r="P29" s="636">
        <v>244.00312496798176</v>
      </c>
      <c r="Q29" s="639">
        <v>2092169.4089809505</v>
      </c>
      <c r="R29" s="100">
        <v>1979</v>
      </c>
      <c r="S29" s="638">
        <v>507703.14743589744</v>
      </c>
      <c r="T29" s="13" t="s">
        <v>367</v>
      </c>
      <c r="U29" s="440">
        <f t="shared" si="0"/>
        <v>14</v>
      </c>
    </row>
    <row r="30" spans="1:21">
      <c r="A30" s="640">
        <v>1980</v>
      </c>
      <c r="B30" s="641">
        <v>0</v>
      </c>
      <c r="C30" s="635">
        <v>5295.614144041022</v>
      </c>
      <c r="D30" s="635">
        <v>25739.438344923765</v>
      </c>
      <c r="E30" s="634">
        <v>17078.08927074348</v>
      </c>
      <c r="F30" s="639">
        <v>203458.33386630402</v>
      </c>
      <c r="G30" s="636">
        <v>98.793028788041056</v>
      </c>
      <c r="H30" s="634">
        <v>1152.0210366054866</v>
      </c>
      <c r="I30" s="639">
        <v>1044206.836082815</v>
      </c>
      <c r="J30" s="636">
        <v>26421.811721019738</v>
      </c>
      <c r="K30" s="634">
        <v>3101.5624396282619</v>
      </c>
      <c r="L30" s="635">
        <v>154255.69752758573</v>
      </c>
      <c r="M30" s="636">
        <v>0</v>
      </c>
      <c r="N30" s="634">
        <v>0</v>
      </c>
      <c r="O30" s="635">
        <v>504.76967502150137</v>
      </c>
      <c r="P30" s="636">
        <v>0</v>
      </c>
      <c r="Q30" s="639">
        <v>1481312.967137476</v>
      </c>
      <c r="R30" s="100">
        <v>1980</v>
      </c>
      <c r="S30" s="638">
        <v>609245.6797237664</v>
      </c>
      <c r="T30" s="440">
        <f t="shared" ref="T30:T47" si="1">RANK(S30,$S$30:$S$61)</f>
        <v>22</v>
      </c>
      <c r="U30" s="440">
        <f t="shared" si="0"/>
        <v>30</v>
      </c>
    </row>
    <row r="31" spans="1:21">
      <c r="A31" s="640">
        <v>1981</v>
      </c>
      <c r="B31" s="641">
        <v>0</v>
      </c>
      <c r="C31" s="635">
        <v>7112.6634510228778</v>
      </c>
      <c r="D31" s="635">
        <v>4780.0090155024582</v>
      </c>
      <c r="E31" s="634">
        <v>117912.62915245809</v>
      </c>
      <c r="F31" s="639">
        <v>157083.49997006214</v>
      </c>
      <c r="G31" s="636">
        <v>863.25635634978084</v>
      </c>
      <c r="H31" s="634">
        <v>76.149183391275628</v>
      </c>
      <c r="I31" s="639">
        <v>729707.86718836357</v>
      </c>
      <c r="J31" s="636">
        <v>8621.2592318647967</v>
      </c>
      <c r="K31" s="634">
        <v>3720.9625728612473</v>
      </c>
      <c r="L31" s="635">
        <v>96117.249082004084</v>
      </c>
      <c r="M31" s="636">
        <v>0</v>
      </c>
      <c r="N31" s="634">
        <v>0</v>
      </c>
      <c r="O31" s="635">
        <v>1074.3079759558277</v>
      </c>
      <c r="P31" s="636">
        <v>10.663</v>
      </c>
      <c r="Q31" s="639">
        <v>1127080.5161798361</v>
      </c>
      <c r="R31" s="100">
        <v>1981</v>
      </c>
      <c r="S31" s="638">
        <v>779344.03185492684</v>
      </c>
      <c r="T31" s="440">
        <f t="shared" si="1"/>
        <v>4</v>
      </c>
      <c r="U31" s="440">
        <f t="shared" si="0"/>
        <v>33</v>
      </c>
    </row>
    <row r="32" spans="1:21">
      <c r="A32" s="640">
        <v>1982</v>
      </c>
      <c r="B32" s="641">
        <v>0</v>
      </c>
      <c r="C32" s="635">
        <v>53085.107367813187</v>
      </c>
      <c r="D32" s="635">
        <v>31108.622740349845</v>
      </c>
      <c r="E32" s="634">
        <v>130462.91282755243</v>
      </c>
      <c r="F32" s="639">
        <v>292198.40738779912</v>
      </c>
      <c r="G32" s="636">
        <v>6.5741882673942715</v>
      </c>
      <c r="H32" s="634">
        <v>1096.7572172994639</v>
      </c>
      <c r="I32" s="639">
        <v>1361112.3412895144</v>
      </c>
      <c r="J32" s="636">
        <v>11104.369441085768</v>
      </c>
      <c r="K32" s="634">
        <v>8465.8838797791377</v>
      </c>
      <c r="L32" s="635">
        <v>72736.613254630647</v>
      </c>
      <c r="M32" s="636">
        <v>0</v>
      </c>
      <c r="N32" s="634">
        <v>0</v>
      </c>
      <c r="O32" s="635">
        <v>1028.674</v>
      </c>
      <c r="P32" s="636">
        <v>0</v>
      </c>
      <c r="Q32" s="639">
        <v>1962406.2635940916</v>
      </c>
      <c r="R32" s="100">
        <v>1982</v>
      </c>
      <c r="S32" s="638">
        <v>609259.17976030742</v>
      </c>
      <c r="T32" s="440">
        <f t="shared" si="1"/>
        <v>21</v>
      </c>
      <c r="U32" s="440">
        <f t="shared" si="0"/>
        <v>17</v>
      </c>
    </row>
    <row r="33" spans="1:21">
      <c r="A33" s="640">
        <v>1983</v>
      </c>
      <c r="B33" s="641">
        <v>300.97316207870722</v>
      </c>
      <c r="C33" s="635">
        <v>16178.98562348138</v>
      </c>
      <c r="D33" s="635">
        <v>18917.032725451929</v>
      </c>
      <c r="E33" s="634">
        <v>121863.40619494946</v>
      </c>
      <c r="F33" s="639">
        <v>113889.25746653602</v>
      </c>
      <c r="G33" s="636">
        <v>1028.800662257408</v>
      </c>
      <c r="H33" s="634">
        <v>1756.8509759558276</v>
      </c>
      <c r="I33" s="639">
        <v>536879.18023254443</v>
      </c>
      <c r="J33" s="636">
        <v>19073.9255672049</v>
      </c>
      <c r="K33" s="634">
        <v>2675.2463784249294</v>
      </c>
      <c r="L33" s="635">
        <v>151074.20697432294</v>
      </c>
      <c r="M33" s="636">
        <v>0</v>
      </c>
      <c r="N33" s="634">
        <v>73.344999999999999</v>
      </c>
      <c r="O33" s="635">
        <v>2041.0750396763956</v>
      </c>
      <c r="P33" s="636">
        <v>1194.8260396763956</v>
      </c>
      <c r="Q33" s="639">
        <v>986947.11204256082</v>
      </c>
      <c r="R33" s="100">
        <v>1983</v>
      </c>
      <c r="S33" s="638">
        <v>689904.86811018642</v>
      </c>
      <c r="T33" s="440">
        <f t="shared" si="1"/>
        <v>8</v>
      </c>
      <c r="U33" s="440">
        <f t="shared" si="0"/>
        <v>39</v>
      </c>
    </row>
    <row r="34" spans="1:21">
      <c r="A34" s="640">
        <v>1984</v>
      </c>
      <c r="B34" s="641">
        <v>6.5741882673942715</v>
      </c>
      <c r="C34" s="635">
        <v>8518.9756452433139</v>
      </c>
      <c r="D34" s="635">
        <v>16049.892245765806</v>
      </c>
      <c r="E34" s="634">
        <v>95723.898052422024</v>
      </c>
      <c r="F34" s="639">
        <v>294557.28228182066</v>
      </c>
      <c r="G34" s="636">
        <v>0</v>
      </c>
      <c r="H34" s="634">
        <v>1028.674</v>
      </c>
      <c r="I34" s="639">
        <v>1012944.0742998301</v>
      </c>
      <c r="J34" s="636">
        <v>19878.74078424929</v>
      </c>
      <c r="K34" s="634">
        <v>7760.5260793527905</v>
      </c>
      <c r="L34" s="635">
        <v>222100.04629314083</v>
      </c>
      <c r="M34" s="636">
        <v>0</v>
      </c>
      <c r="N34" s="634">
        <v>0</v>
      </c>
      <c r="O34" s="635">
        <v>0</v>
      </c>
      <c r="P34" s="636">
        <v>0</v>
      </c>
      <c r="Q34" s="639">
        <v>1678568.6838700923</v>
      </c>
      <c r="R34" s="100">
        <v>1984</v>
      </c>
      <c r="S34" s="638">
        <v>837471.73615241167</v>
      </c>
      <c r="T34" s="440">
        <f t="shared" si="1"/>
        <v>2</v>
      </c>
      <c r="U34" s="440">
        <f t="shared" si="0"/>
        <v>16</v>
      </c>
    </row>
    <row r="35" spans="1:21">
      <c r="A35" s="640">
        <v>1985</v>
      </c>
      <c r="B35" s="641">
        <v>212.57639168578251</v>
      </c>
      <c r="C35" s="635">
        <v>10522.1265</v>
      </c>
      <c r="D35" s="635">
        <v>36816.902552422027</v>
      </c>
      <c r="E35" s="634">
        <v>56813.475648974505</v>
      </c>
      <c r="F35" s="639">
        <v>240741.58041960336</v>
      </c>
      <c r="G35" s="636">
        <v>1240.8</v>
      </c>
      <c r="H35" s="634">
        <v>919.59400000000016</v>
      </c>
      <c r="I35" s="639">
        <v>641426.45512191299</v>
      </c>
      <c r="J35" s="636">
        <v>65724.31340851204</v>
      </c>
      <c r="K35" s="634">
        <v>17968.513173827647</v>
      </c>
      <c r="L35" s="635">
        <v>68352.632191750556</v>
      </c>
      <c r="M35" s="636">
        <v>0</v>
      </c>
      <c r="N35" s="634">
        <v>0</v>
      </c>
      <c r="O35" s="635">
        <v>1366.6103110634733</v>
      </c>
      <c r="P35" s="636">
        <v>0</v>
      </c>
      <c r="Q35" s="639">
        <v>1142105.5797197523</v>
      </c>
      <c r="R35" s="100">
        <v>1985</v>
      </c>
      <c r="S35" s="638">
        <v>644071.2163551402</v>
      </c>
      <c r="T35" s="440">
        <f t="shared" si="1"/>
        <v>15</v>
      </c>
      <c r="U35" s="440">
        <f t="shared" si="0"/>
        <v>25</v>
      </c>
    </row>
    <row r="36" spans="1:21">
      <c r="A36" s="640">
        <v>1986</v>
      </c>
      <c r="B36" s="641">
        <v>0</v>
      </c>
      <c r="C36" s="635">
        <v>19519.513784249291</v>
      </c>
      <c r="D36" s="635">
        <v>8416.2126489745042</v>
      </c>
      <c r="E36" s="634">
        <v>235241.49387653868</v>
      </c>
      <c r="F36" s="639">
        <v>283682.55642391811</v>
      </c>
      <c r="G36" s="636">
        <v>744.10301983819784</v>
      </c>
      <c r="H36" s="634">
        <v>1759.1662455192736</v>
      </c>
      <c r="I36" s="639">
        <v>1292395.1381037389</v>
      </c>
      <c r="J36" s="636">
        <v>6223.2490000000007</v>
      </c>
      <c r="K36" s="634">
        <v>10038.918487995696</v>
      </c>
      <c r="L36" s="635">
        <v>102379.09477766155</v>
      </c>
      <c r="M36" s="636">
        <v>0</v>
      </c>
      <c r="N36" s="634">
        <v>0</v>
      </c>
      <c r="O36" s="635">
        <v>899.64908992187668</v>
      </c>
      <c r="P36" s="636">
        <v>521.25352370416942</v>
      </c>
      <c r="Q36" s="639">
        <v>1961820.3489820603</v>
      </c>
      <c r="R36" s="100">
        <v>1986</v>
      </c>
      <c r="S36" s="638">
        <v>512181.00557456672</v>
      </c>
      <c r="T36" s="440">
        <f t="shared" si="1"/>
        <v>30</v>
      </c>
      <c r="U36" s="440">
        <f t="shared" si="0"/>
        <v>19</v>
      </c>
    </row>
    <row r="37" spans="1:21">
      <c r="A37" s="640">
        <v>1987</v>
      </c>
      <c r="B37" s="641">
        <v>721.29837842492918</v>
      </c>
      <c r="C37" s="635">
        <v>21116.518079352791</v>
      </c>
      <c r="D37" s="635">
        <v>78805.382876538672</v>
      </c>
      <c r="E37" s="634">
        <v>159648.33487453967</v>
      </c>
      <c r="F37" s="639">
        <v>229875.14425105081</v>
      </c>
      <c r="G37" s="636">
        <v>1208.6110000000001</v>
      </c>
      <c r="H37" s="634">
        <v>3335.6308249612293</v>
      </c>
      <c r="I37" s="639">
        <v>1075295.1477904324</v>
      </c>
      <c r="J37" s="636">
        <v>24623.524510714233</v>
      </c>
      <c r="K37" s="634">
        <v>9969.0769577149986</v>
      </c>
      <c r="L37" s="635">
        <v>167904.98412563567</v>
      </c>
      <c r="M37" s="636">
        <v>0</v>
      </c>
      <c r="N37" s="634">
        <v>110.29056006581624</v>
      </c>
      <c r="O37" s="635">
        <v>364.64161464130848</v>
      </c>
      <c r="P37" s="636">
        <v>0</v>
      </c>
      <c r="Q37" s="639">
        <v>1772978.5858440723</v>
      </c>
      <c r="R37" s="100">
        <v>1987</v>
      </c>
      <c r="S37" s="638">
        <v>505998.99389258347</v>
      </c>
      <c r="T37" s="440">
        <f t="shared" si="1"/>
        <v>31</v>
      </c>
      <c r="U37" s="440">
        <f t="shared" si="0"/>
        <v>27</v>
      </c>
    </row>
    <row r="38" spans="1:21">
      <c r="A38" s="640">
        <v>1988</v>
      </c>
      <c r="B38" s="641">
        <v>440.07</v>
      </c>
      <c r="C38" s="635">
        <v>8380.83</v>
      </c>
      <c r="D38" s="635">
        <v>18489.281874539654</v>
      </c>
      <c r="E38" s="634">
        <v>88769.186810595143</v>
      </c>
      <c r="F38" s="639">
        <v>237957.34811608869</v>
      </c>
      <c r="G38" s="636">
        <v>40.332489956876408</v>
      </c>
      <c r="H38" s="634">
        <v>2228.2791278196037</v>
      </c>
      <c r="I38" s="639">
        <v>1329979.1552080857</v>
      </c>
      <c r="J38" s="636">
        <v>20190.383640854685</v>
      </c>
      <c r="K38" s="634">
        <v>10425.75124360494</v>
      </c>
      <c r="L38" s="635">
        <v>56158.850432137238</v>
      </c>
      <c r="M38" s="636">
        <v>0</v>
      </c>
      <c r="N38" s="634">
        <v>0</v>
      </c>
      <c r="O38" s="635">
        <v>310.90322389233484</v>
      </c>
      <c r="P38" s="636">
        <v>16.280049999999999</v>
      </c>
      <c r="Q38" s="639">
        <v>1773386.6522175749</v>
      </c>
      <c r="R38" s="100">
        <v>1988</v>
      </c>
      <c r="S38" s="638">
        <v>495779.97595582763</v>
      </c>
      <c r="T38" s="440">
        <f t="shared" si="1"/>
        <v>32</v>
      </c>
      <c r="U38" s="440">
        <f t="shared" si="0"/>
        <v>26</v>
      </c>
    </row>
    <row r="39" spans="1:21">
      <c r="A39" s="640">
        <v>1989</v>
      </c>
      <c r="B39" s="641">
        <v>1208.6110000000001</v>
      </c>
      <c r="C39" s="635">
        <v>22491.364989534712</v>
      </c>
      <c r="D39" s="635">
        <v>25771.508177901509</v>
      </c>
      <c r="E39" s="634">
        <v>240612.912267554</v>
      </c>
      <c r="F39" s="639">
        <v>249913.77094685714</v>
      </c>
      <c r="G39" s="636">
        <v>61.613454411656534</v>
      </c>
      <c r="H39" s="634">
        <v>3832.738664468448</v>
      </c>
      <c r="I39" s="639">
        <v>1332570.2372110838</v>
      </c>
      <c r="J39" s="636">
        <v>14957.721014573575</v>
      </c>
      <c r="K39" s="634">
        <v>3381.7685598274606</v>
      </c>
      <c r="L39" s="635">
        <v>113240.98253948729</v>
      </c>
      <c r="M39" s="636">
        <v>235.14517733959769</v>
      </c>
      <c r="N39" s="634">
        <v>212.8692340683321</v>
      </c>
      <c r="O39" s="635">
        <v>235.2459888660056</v>
      </c>
      <c r="P39" s="636">
        <v>0</v>
      </c>
      <c r="Q39" s="639">
        <v>2008726.4892259736</v>
      </c>
      <c r="R39" s="100">
        <v>1989</v>
      </c>
      <c r="S39" s="638">
        <v>581067.37842492911</v>
      </c>
      <c r="T39" s="440">
        <f t="shared" si="1"/>
        <v>25</v>
      </c>
      <c r="U39" s="440">
        <f t="shared" si="0"/>
        <v>23</v>
      </c>
    </row>
    <row r="40" spans="1:21">
      <c r="A40" s="640">
        <v>1990</v>
      </c>
      <c r="B40" s="641">
        <v>160.84569322424986</v>
      </c>
      <c r="C40" s="635">
        <v>13668.933644713463</v>
      </c>
      <c r="D40" s="635">
        <v>56401.76109070603</v>
      </c>
      <c r="E40" s="634">
        <v>175886.78090249607</v>
      </c>
      <c r="F40" s="639">
        <v>210751.78888782303</v>
      </c>
      <c r="G40" s="636">
        <v>745.83470302690375</v>
      </c>
      <c r="H40" s="634">
        <v>220.04214242985935</v>
      </c>
      <c r="I40" s="639">
        <v>1060308.8407004261</v>
      </c>
      <c r="J40" s="636">
        <v>39127.59074684744</v>
      </c>
      <c r="K40" s="634">
        <v>18708.985355581455</v>
      </c>
      <c r="L40" s="635">
        <v>136246.45589309841</v>
      </c>
      <c r="M40" s="636">
        <v>198.74871562604727</v>
      </c>
      <c r="N40" s="634">
        <v>0</v>
      </c>
      <c r="O40" s="635">
        <v>0</v>
      </c>
      <c r="P40" s="636">
        <v>0</v>
      </c>
      <c r="Q40" s="639">
        <v>1712426.6084759992</v>
      </c>
      <c r="R40" s="100">
        <v>1990</v>
      </c>
      <c r="S40" s="638">
        <v>619668.01983819774</v>
      </c>
      <c r="T40" s="440">
        <f t="shared" si="1"/>
        <v>18</v>
      </c>
      <c r="U40" s="440">
        <f t="shared" si="0"/>
        <v>29</v>
      </c>
    </row>
    <row r="41" spans="1:21">
      <c r="A41" s="640">
        <v>1991</v>
      </c>
      <c r="B41" s="641">
        <v>114.76809826065454</v>
      </c>
      <c r="C41" s="635">
        <v>18534.721988168709</v>
      </c>
      <c r="D41" s="635">
        <v>58109.358039408347</v>
      </c>
      <c r="E41" s="634">
        <v>93387.974354544465</v>
      </c>
      <c r="F41" s="639">
        <v>443740.93051869422</v>
      </c>
      <c r="G41" s="636">
        <v>451.85652013616084</v>
      </c>
      <c r="H41" s="634">
        <v>1384.5569724573177</v>
      </c>
      <c r="I41" s="639">
        <v>1989184.4640360922</v>
      </c>
      <c r="J41" s="636">
        <v>53524.136196909734</v>
      </c>
      <c r="K41" s="634">
        <v>10304.022596761599</v>
      </c>
      <c r="L41" s="635">
        <v>271330.44131966069</v>
      </c>
      <c r="M41" s="636">
        <v>0</v>
      </c>
      <c r="N41" s="634">
        <v>0</v>
      </c>
      <c r="O41" s="635">
        <v>547.46603666896704</v>
      </c>
      <c r="P41" s="636">
        <v>0</v>
      </c>
      <c r="Q41" s="639">
        <v>2940614.696677763</v>
      </c>
      <c r="R41" s="100">
        <v>1991</v>
      </c>
      <c r="S41" s="638">
        <v>567389.92208594619</v>
      </c>
      <c r="T41" s="440">
        <f t="shared" si="1"/>
        <v>26</v>
      </c>
      <c r="U41" s="440">
        <f t="shared" si="0"/>
        <v>6</v>
      </c>
    </row>
    <row r="42" spans="1:21">
      <c r="A42" s="640">
        <v>1992</v>
      </c>
      <c r="B42" s="641">
        <v>567.49129464130851</v>
      </c>
      <c r="C42" s="635">
        <v>13539.73541244292</v>
      </c>
      <c r="D42" s="635">
        <v>32579.47741440657</v>
      </c>
      <c r="E42" s="634">
        <v>112579.81465782334</v>
      </c>
      <c r="F42" s="639">
        <v>505425.03393203206</v>
      </c>
      <c r="G42" s="636">
        <v>277.16182309520332</v>
      </c>
      <c r="H42" s="634">
        <v>3294.5659266862285</v>
      </c>
      <c r="I42" s="639">
        <v>2415249.6642813412</v>
      </c>
      <c r="J42" s="636">
        <v>26864.069337716079</v>
      </c>
      <c r="K42" s="634">
        <v>11568.636694612851</v>
      </c>
      <c r="L42" s="635">
        <v>77133.584539687814</v>
      </c>
      <c r="M42" s="636">
        <v>0</v>
      </c>
      <c r="N42" s="634">
        <v>0</v>
      </c>
      <c r="O42" s="635">
        <v>0</v>
      </c>
      <c r="P42" s="636">
        <v>0</v>
      </c>
      <c r="Q42" s="588">
        <v>3199079.2353144856</v>
      </c>
      <c r="R42" s="100">
        <v>1992</v>
      </c>
      <c r="S42" s="638">
        <v>558331.04056437232</v>
      </c>
      <c r="T42" s="440">
        <f t="shared" si="1"/>
        <v>27</v>
      </c>
      <c r="U42" s="440">
        <f t="shared" si="0"/>
        <v>3</v>
      </c>
    </row>
    <row r="43" spans="1:21">
      <c r="A43" s="640">
        <v>1993</v>
      </c>
      <c r="B43" s="641">
        <v>150.17205000000001</v>
      </c>
      <c r="C43" s="635">
        <v>44520.814705183351</v>
      </c>
      <c r="D43" s="635">
        <v>16460.431926757403</v>
      </c>
      <c r="E43" s="634">
        <v>802613.36083504581</v>
      </c>
      <c r="F43" s="639">
        <v>247453.35635972215</v>
      </c>
      <c r="G43" s="636">
        <v>21.334687986013986</v>
      </c>
      <c r="H43" s="634">
        <v>2025.2798513159853</v>
      </c>
      <c r="I43" s="639">
        <v>1112912.7648551823</v>
      </c>
      <c r="J43" s="636">
        <v>19013.145383823394</v>
      </c>
      <c r="K43" s="634">
        <v>15443.702617175633</v>
      </c>
      <c r="L43" s="635">
        <v>69316.71512995282</v>
      </c>
      <c r="M43" s="636">
        <v>385.05387899088055</v>
      </c>
      <c r="N43" s="634">
        <v>0</v>
      </c>
      <c r="O43" s="635">
        <v>220.62565858541765</v>
      </c>
      <c r="P43" s="636">
        <v>0</v>
      </c>
      <c r="Q43" s="588">
        <v>2330536.7579397205</v>
      </c>
      <c r="R43" s="100">
        <v>1993</v>
      </c>
      <c r="S43" s="638">
        <v>652721.10807092034</v>
      </c>
      <c r="T43" s="440">
        <f t="shared" si="1"/>
        <v>13</v>
      </c>
      <c r="U43" s="440">
        <f t="shared" si="0"/>
        <v>24</v>
      </c>
    </row>
    <row r="44" spans="1:21">
      <c r="A44" s="640">
        <v>1994</v>
      </c>
      <c r="B44" s="641">
        <v>199.87886500000002</v>
      </c>
      <c r="C44" s="635">
        <v>31914.140420560962</v>
      </c>
      <c r="D44" s="635">
        <v>147971.67340866121</v>
      </c>
      <c r="E44" s="634">
        <v>112668.45951798014</v>
      </c>
      <c r="F44" s="639">
        <v>271467.29571051238</v>
      </c>
      <c r="G44" s="636">
        <v>1009.4130814346948</v>
      </c>
      <c r="H44" s="634">
        <v>4491.3892658855948</v>
      </c>
      <c r="I44" s="639">
        <v>1216630.2738301605</v>
      </c>
      <c r="J44" s="636">
        <v>34901.570572334043</v>
      </c>
      <c r="K44" s="634">
        <v>8829.6006964967055</v>
      </c>
      <c r="L44" s="635">
        <v>89500.51969014018</v>
      </c>
      <c r="M44" s="636">
        <v>0</v>
      </c>
      <c r="N44" s="634">
        <v>0</v>
      </c>
      <c r="O44" s="635">
        <v>0</v>
      </c>
      <c r="P44" s="636">
        <v>0</v>
      </c>
      <c r="Q44" s="588">
        <v>1919584.2150591665</v>
      </c>
      <c r="R44" s="100">
        <v>1994</v>
      </c>
      <c r="S44" s="638">
        <v>614989.28339619539</v>
      </c>
      <c r="T44" s="440">
        <f t="shared" si="1"/>
        <v>20</v>
      </c>
      <c r="U44" s="440">
        <f t="shared" si="0"/>
        <v>21</v>
      </c>
    </row>
    <row r="45" spans="1:21">
      <c r="A45" s="642">
        <v>1995</v>
      </c>
      <c r="B45" s="641">
        <v>116.90832403146852</v>
      </c>
      <c r="C45" s="635">
        <v>18347.456281446943</v>
      </c>
      <c r="D45" s="635">
        <v>29946.499677603377</v>
      </c>
      <c r="E45" s="634">
        <v>101731.50132165727</v>
      </c>
      <c r="F45" s="639">
        <v>219305.37513567525</v>
      </c>
      <c r="G45" s="636">
        <v>0</v>
      </c>
      <c r="H45" s="634">
        <v>1853.0518040261982</v>
      </c>
      <c r="I45" s="639">
        <v>929769.82433363562</v>
      </c>
      <c r="J45" s="636">
        <v>8999.5141323048283</v>
      </c>
      <c r="K45" s="634">
        <v>3765.2371538897801</v>
      </c>
      <c r="L45" s="635">
        <v>59923.799229661214</v>
      </c>
      <c r="M45" s="636">
        <v>0</v>
      </c>
      <c r="N45" s="634">
        <v>0</v>
      </c>
      <c r="O45" s="635">
        <v>721.79479738634609</v>
      </c>
      <c r="P45" s="636">
        <v>0</v>
      </c>
      <c r="Q45" s="588">
        <v>1374480.9621913182</v>
      </c>
      <c r="R45" s="643">
        <v>1995</v>
      </c>
      <c r="S45" s="638">
        <v>528715.42146727804</v>
      </c>
      <c r="T45" s="440">
        <f t="shared" si="1"/>
        <v>29</v>
      </c>
      <c r="U45" s="440">
        <f t="shared" si="0"/>
        <v>28</v>
      </c>
    </row>
    <row r="46" spans="1:21">
      <c r="A46" s="642">
        <v>1996</v>
      </c>
      <c r="B46" s="641">
        <v>595.88930179432168</v>
      </c>
      <c r="C46" s="635">
        <v>22339.832869201946</v>
      </c>
      <c r="D46" s="635">
        <v>12697.780914796174</v>
      </c>
      <c r="E46" s="634">
        <v>66093.124069894606</v>
      </c>
      <c r="F46" s="639">
        <v>76308.890082196463</v>
      </c>
      <c r="G46" s="636">
        <v>0</v>
      </c>
      <c r="H46" s="634">
        <v>982.50288084489932</v>
      </c>
      <c r="I46" s="639">
        <v>1671044.5816115239</v>
      </c>
      <c r="J46" s="636">
        <v>7578.3818475354037</v>
      </c>
      <c r="K46" s="634">
        <v>13630.625728167604</v>
      </c>
      <c r="L46" s="635">
        <v>68975.106658855279</v>
      </c>
      <c r="M46" s="636">
        <v>0</v>
      </c>
      <c r="N46" s="634">
        <v>0</v>
      </c>
      <c r="O46" s="635">
        <v>693.2320312679725</v>
      </c>
      <c r="P46" s="636">
        <v>0</v>
      </c>
      <c r="Q46" s="588">
        <v>1940939.9479960788</v>
      </c>
      <c r="R46" s="643">
        <v>1996</v>
      </c>
      <c r="S46" s="638">
        <v>674836.32951188635</v>
      </c>
      <c r="T46" s="440">
        <f t="shared" si="1"/>
        <v>10</v>
      </c>
      <c r="U46" s="440">
        <f t="shared" si="0"/>
        <v>47</v>
      </c>
    </row>
    <row r="47" spans="1:21">
      <c r="A47" s="642">
        <v>1997</v>
      </c>
      <c r="B47" s="641">
        <v>82.341865161817253</v>
      </c>
      <c r="C47" s="635">
        <v>24855.648557715551</v>
      </c>
      <c r="D47" s="635">
        <v>8279.8174606620651</v>
      </c>
      <c r="E47" s="634">
        <v>160819.07519867778</v>
      </c>
      <c r="F47" s="639">
        <v>100643.96414584623</v>
      </c>
      <c r="G47" s="636">
        <v>0</v>
      </c>
      <c r="H47" s="634">
        <v>2313.3534092869577</v>
      </c>
      <c r="I47" s="639">
        <v>1250886.8726059287</v>
      </c>
      <c r="J47" s="636">
        <v>11107.647851674847</v>
      </c>
      <c r="K47" s="634">
        <v>5942.5488904277618</v>
      </c>
      <c r="L47" s="635">
        <v>42381.679832948306</v>
      </c>
      <c r="M47" s="636">
        <v>0</v>
      </c>
      <c r="N47" s="634">
        <v>0</v>
      </c>
      <c r="O47" s="635">
        <v>0</v>
      </c>
      <c r="P47" s="636">
        <v>0</v>
      </c>
      <c r="Q47" s="588">
        <v>1607312.9498183299</v>
      </c>
      <c r="R47" s="643">
        <v>1997</v>
      </c>
      <c r="S47" s="638">
        <v>900332.70692073856</v>
      </c>
      <c r="T47" s="440">
        <f t="shared" si="1"/>
        <v>1</v>
      </c>
      <c r="U47" s="440">
        <f t="shared" si="0"/>
        <v>43</v>
      </c>
    </row>
    <row r="48" spans="1:21">
      <c r="A48" s="642">
        <v>1998</v>
      </c>
      <c r="B48" s="641">
        <v>246.72578685536965</v>
      </c>
      <c r="C48" s="635">
        <v>4598.641973520168</v>
      </c>
      <c r="D48" s="635">
        <v>14648.877824859073</v>
      </c>
      <c r="E48" s="634">
        <v>56834.22212716884</v>
      </c>
      <c r="F48" s="639">
        <v>359050.78446500207</v>
      </c>
      <c r="G48" s="636">
        <v>0</v>
      </c>
      <c r="H48" s="634">
        <v>628.72149642261763</v>
      </c>
      <c r="I48" s="639">
        <v>1379966.5856725546</v>
      </c>
      <c r="J48" s="636">
        <v>13313.228626265411</v>
      </c>
      <c r="K48" s="634">
        <v>7414.6374385917989</v>
      </c>
      <c r="L48" s="635">
        <v>74660.332171505637</v>
      </c>
      <c r="M48" s="636">
        <v>0</v>
      </c>
      <c r="N48" s="634">
        <v>223.11350831425716</v>
      </c>
      <c r="O48" s="635">
        <v>514.94845767994309</v>
      </c>
      <c r="P48" s="636">
        <v>0</v>
      </c>
      <c r="Q48" s="588">
        <v>1912100.8195487398</v>
      </c>
      <c r="R48" s="643">
        <v>1998</v>
      </c>
      <c r="S48" s="638">
        <v>635380.79722662957</v>
      </c>
      <c r="T48" s="440">
        <f>RANK(S48,$S$30:$S$61)</f>
        <v>16</v>
      </c>
      <c r="U48" s="440">
        <f t="shared" si="0"/>
        <v>12</v>
      </c>
    </row>
    <row r="49" spans="1:21">
      <c r="A49" s="642">
        <v>1999</v>
      </c>
      <c r="B49" s="641">
        <v>50.002467830072277</v>
      </c>
      <c r="C49" s="635">
        <v>17303.141708533629</v>
      </c>
      <c r="D49" s="635">
        <v>7580.2162664815642</v>
      </c>
      <c r="E49" s="634">
        <v>71103.192868462647</v>
      </c>
      <c r="F49" s="639">
        <v>272182.51143379207</v>
      </c>
      <c r="G49" s="636">
        <v>208.39588316826124</v>
      </c>
      <c r="H49" s="634">
        <v>1451.9000518056901</v>
      </c>
      <c r="I49" s="639">
        <v>996194.75347909459</v>
      </c>
      <c r="J49" s="636">
        <v>71780.774099935923</v>
      </c>
      <c r="K49" s="634">
        <v>5087.9049605004793</v>
      </c>
      <c r="L49" s="635">
        <v>173454.02140575519</v>
      </c>
      <c r="M49" s="636">
        <v>0</v>
      </c>
      <c r="N49" s="634">
        <v>0</v>
      </c>
      <c r="O49" s="635">
        <v>2446.8284440285997</v>
      </c>
      <c r="P49" s="636">
        <v>116.45277883154473</v>
      </c>
      <c r="Q49" s="588">
        <v>1618960.0958482206</v>
      </c>
      <c r="R49" s="643">
        <v>1999</v>
      </c>
      <c r="S49" s="638">
        <v>648887</v>
      </c>
      <c r="T49" s="440">
        <f t="shared" ref="T49:T61" si="2">RANK(S49,$S$30:$S$61)</f>
        <v>14</v>
      </c>
      <c r="U49" s="440">
        <f t="shared" si="0"/>
        <v>20</v>
      </c>
    </row>
    <row r="50" spans="1:21">
      <c r="A50" s="642">
        <v>2000</v>
      </c>
      <c r="B50" s="641">
        <v>662.18305747720251</v>
      </c>
      <c r="C50" s="635">
        <v>16645.747942705064</v>
      </c>
      <c r="D50" s="635">
        <v>15743.896445334503</v>
      </c>
      <c r="E50" s="634">
        <v>97651.540500728544</v>
      </c>
      <c r="F50" s="639">
        <v>501789.11599463865</v>
      </c>
      <c r="G50" s="636">
        <v>6.6898694238143763</v>
      </c>
      <c r="H50" s="634">
        <v>929.13471837709585</v>
      </c>
      <c r="I50" s="639">
        <v>1434375.124038063</v>
      </c>
      <c r="J50" s="636">
        <v>48395.186096710058</v>
      </c>
      <c r="K50" s="634">
        <v>19917.217643672284</v>
      </c>
      <c r="L50" s="635">
        <v>199645.74794608256</v>
      </c>
      <c r="M50" s="636">
        <v>0</v>
      </c>
      <c r="N50" s="634">
        <v>2377.7749162498399</v>
      </c>
      <c r="O50" s="635">
        <v>3118.650108792594</v>
      </c>
      <c r="P50" s="636">
        <v>0</v>
      </c>
      <c r="Q50" s="588">
        <v>2341258.0092782555</v>
      </c>
      <c r="R50" s="643">
        <v>2000</v>
      </c>
      <c r="S50" s="638">
        <v>537592</v>
      </c>
      <c r="T50" s="440">
        <f t="shared" si="2"/>
        <v>28</v>
      </c>
      <c r="U50" s="440">
        <f t="shared" si="0"/>
        <v>4</v>
      </c>
    </row>
    <row r="51" spans="1:21">
      <c r="A51" s="642">
        <v>2001</v>
      </c>
      <c r="B51" s="641">
        <v>87.834615206543617</v>
      </c>
      <c r="C51" s="635">
        <v>9246.3237700997815</v>
      </c>
      <c r="D51" s="635">
        <v>6843.0382800759517</v>
      </c>
      <c r="E51" s="634">
        <v>132236.79661882488</v>
      </c>
      <c r="F51" s="639">
        <v>258148.88316457791</v>
      </c>
      <c r="G51" s="636">
        <v>122.21615060842788</v>
      </c>
      <c r="H51" s="634">
        <v>705.54722736888255</v>
      </c>
      <c r="I51" s="639">
        <v>1472393.5551385009</v>
      </c>
      <c r="J51" s="636">
        <v>58197.772436206709</v>
      </c>
      <c r="K51" s="634">
        <v>14181.492611144902</v>
      </c>
      <c r="L51" s="635">
        <v>289597.85577016172</v>
      </c>
      <c r="M51" s="636">
        <v>0</v>
      </c>
      <c r="N51" s="634">
        <v>42.797820000000002</v>
      </c>
      <c r="O51" s="635">
        <v>883.2872793473482</v>
      </c>
      <c r="P51" s="636">
        <v>0</v>
      </c>
      <c r="Q51" s="588">
        <v>2242687.400882124</v>
      </c>
      <c r="R51" s="643">
        <v>2001</v>
      </c>
      <c r="S51" s="638">
        <v>680513</v>
      </c>
      <c r="T51" s="440">
        <f t="shared" si="2"/>
        <v>9</v>
      </c>
      <c r="U51" s="440">
        <f t="shared" si="0"/>
        <v>22</v>
      </c>
    </row>
    <row r="52" spans="1:21">
      <c r="A52" s="642">
        <v>2002</v>
      </c>
      <c r="B52" s="641">
        <v>36.367746532145276</v>
      </c>
      <c r="C52" s="635">
        <v>19700.069071588034</v>
      </c>
      <c r="D52" s="635">
        <v>6090.5428281522218</v>
      </c>
      <c r="E52" s="634">
        <v>65529.708631289825</v>
      </c>
      <c r="F52" s="639">
        <v>401156.89491228049</v>
      </c>
      <c r="G52" s="636">
        <v>0</v>
      </c>
      <c r="H52" s="634">
        <v>0</v>
      </c>
      <c r="I52" s="639">
        <v>2281728.634522045</v>
      </c>
      <c r="J52" s="636">
        <v>15367.679240517831</v>
      </c>
      <c r="K52" s="634">
        <v>13191.876829937037</v>
      </c>
      <c r="L52" s="635">
        <v>113451.33767517553</v>
      </c>
      <c r="M52" s="636">
        <v>0</v>
      </c>
      <c r="N52" s="634">
        <v>0</v>
      </c>
      <c r="O52" s="635">
        <v>0</v>
      </c>
      <c r="P52" s="636">
        <v>0</v>
      </c>
      <c r="Q52" s="588">
        <v>2916253.1114575183</v>
      </c>
      <c r="R52" s="643">
        <v>2002</v>
      </c>
      <c r="S52" s="638">
        <v>732389</v>
      </c>
      <c r="T52" s="440">
        <f t="shared" si="2"/>
        <v>7</v>
      </c>
      <c r="U52" s="440">
        <f t="shared" si="0"/>
        <v>9</v>
      </c>
    </row>
    <row r="53" spans="1:21">
      <c r="A53" s="642">
        <v>2003</v>
      </c>
      <c r="B53" s="641">
        <v>537.71004536922385</v>
      </c>
      <c r="C53" s="635">
        <v>30741.151471378849</v>
      </c>
      <c r="D53" s="635">
        <v>5212.4666426457889</v>
      </c>
      <c r="E53" s="634">
        <v>87317.420271431401</v>
      </c>
      <c r="F53" s="639">
        <v>144497.9544226641</v>
      </c>
      <c r="G53" s="636">
        <v>318.45817671709295</v>
      </c>
      <c r="H53" s="634">
        <v>352.25898000000001</v>
      </c>
      <c r="I53" s="639">
        <v>796157.21431067027</v>
      </c>
      <c r="J53" s="636">
        <v>15401.179969687904</v>
      </c>
      <c r="K53" s="634">
        <v>5754.333787077715</v>
      </c>
      <c r="L53" s="635">
        <v>220613.2456254311</v>
      </c>
      <c r="M53" s="636">
        <v>0</v>
      </c>
      <c r="N53" s="634">
        <v>304.83084718181954</v>
      </c>
      <c r="O53" s="635">
        <v>1064.1571317171574</v>
      </c>
      <c r="P53" s="636">
        <v>0</v>
      </c>
      <c r="Q53" s="588">
        <v>1308272.3816819726</v>
      </c>
      <c r="R53" s="643">
        <v>2003</v>
      </c>
      <c r="S53" s="638">
        <v>653564</v>
      </c>
      <c r="T53" s="440">
        <f t="shared" si="2"/>
        <v>12</v>
      </c>
      <c r="U53" s="440">
        <f t="shared" si="0"/>
        <v>36</v>
      </c>
    </row>
    <row r="54" spans="1:21">
      <c r="A54" s="644">
        <v>2004</v>
      </c>
      <c r="B54" s="641">
        <v>496.65672771368872</v>
      </c>
      <c r="C54" s="635">
        <v>4043.5996798855426</v>
      </c>
      <c r="D54" s="635">
        <v>24293.51932402937</v>
      </c>
      <c r="E54" s="634">
        <v>15467.467798964146</v>
      </c>
      <c r="F54" s="639">
        <v>103350.61858821202</v>
      </c>
      <c r="G54" s="636">
        <v>0</v>
      </c>
      <c r="H54" s="634">
        <v>234.51992156794421</v>
      </c>
      <c r="I54" s="639">
        <v>940457.62252988853</v>
      </c>
      <c r="J54" s="636">
        <v>37854.670951031578</v>
      </c>
      <c r="K54" s="634">
        <v>5088.5351002133557</v>
      </c>
      <c r="L54" s="635">
        <v>86395.421938443425</v>
      </c>
      <c r="M54" s="636">
        <v>0</v>
      </c>
      <c r="N54" s="634">
        <v>0</v>
      </c>
      <c r="O54" s="635">
        <v>0</v>
      </c>
      <c r="P54" s="636">
        <v>0</v>
      </c>
      <c r="Q54" s="588">
        <v>1217682.6325599493</v>
      </c>
      <c r="R54" s="643">
        <v>2004</v>
      </c>
      <c r="S54" s="638">
        <v>586352</v>
      </c>
      <c r="T54" s="440">
        <f t="shared" si="2"/>
        <v>24</v>
      </c>
      <c r="U54" s="440">
        <f t="shared" si="0"/>
        <v>40</v>
      </c>
    </row>
    <row r="55" spans="1:21">
      <c r="A55" s="642">
        <v>2005</v>
      </c>
      <c r="B55" s="641">
        <v>0</v>
      </c>
      <c r="C55" s="635">
        <v>5174.6524919781277</v>
      </c>
      <c r="D55" s="635">
        <v>2664.0438512035921</v>
      </c>
      <c r="E55" s="634">
        <v>44060.106639328726</v>
      </c>
      <c r="F55" s="639">
        <v>348675.14452879829</v>
      </c>
      <c r="G55" s="636">
        <v>117.56209820629142</v>
      </c>
      <c r="H55" s="634">
        <v>67.320917571997398</v>
      </c>
      <c r="I55" s="639">
        <v>730494.56928830943</v>
      </c>
      <c r="J55" s="636">
        <v>21592.29762588007</v>
      </c>
      <c r="K55" s="634">
        <v>4608.6486199545343</v>
      </c>
      <c r="L55" s="635">
        <v>127958.75301238397</v>
      </c>
      <c r="M55" s="636">
        <v>0</v>
      </c>
      <c r="N55" s="634">
        <v>0</v>
      </c>
      <c r="O55" s="635">
        <v>871.60595659611806</v>
      </c>
      <c r="P55" s="636">
        <v>0</v>
      </c>
      <c r="Q55" s="588">
        <v>1286284.705030211</v>
      </c>
      <c r="R55" s="643">
        <v>2005</v>
      </c>
      <c r="S55" s="638">
        <v>631646.30056050722</v>
      </c>
      <c r="T55" s="440">
        <f t="shared" si="2"/>
        <v>17</v>
      </c>
      <c r="U55" s="440">
        <f t="shared" si="0"/>
        <v>13</v>
      </c>
    </row>
    <row r="56" spans="1:21">
      <c r="A56" s="642">
        <v>2006</v>
      </c>
      <c r="B56" s="641">
        <v>254.77008482405844</v>
      </c>
      <c r="C56" s="635">
        <v>3126.8501930271573</v>
      </c>
      <c r="D56" s="635">
        <v>1650.0452612052413</v>
      </c>
      <c r="E56" s="634">
        <v>19349.812082381031</v>
      </c>
      <c r="F56" s="639">
        <v>409775.58032286481</v>
      </c>
      <c r="G56" s="636">
        <v>550.33620892887689</v>
      </c>
      <c r="H56" s="634">
        <v>0</v>
      </c>
      <c r="I56" s="639">
        <v>1832418.5211423838</v>
      </c>
      <c r="J56" s="636">
        <v>48233.678902116226</v>
      </c>
      <c r="K56" s="634">
        <v>9989.2363635105503</v>
      </c>
      <c r="L56" s="635">
        <v>105792.81658205001</v>
      </c>
      <c r="M56" s="636">
        <v>0</v>
      </c>
      <c r="N56" s="634">
        <v>0</v>
      </c>
      <c r="O56" s="635">
        <v>1205.5867203358314</v>
      </c>
      <c r="P56" s="636">
        <v>0</v>
      </c>
      <c r="Q56" s="588">
        <v>2432347.2338636275</v>
      </c>
      <c r="R56" s="643">
        <v>2006</v>
      </c>
      <c r="S56" s="638">
        <v>777081</v>
      </c>
      <c r="T56" s="440">
        <f t="shared" si="2"/>
        <v>5</v>
      </c>
      <c r="U56" s="440">
        <f t="shared" si="0"/>
        <v>8</v>
      </c>
    </row>
    <row r="57" spans="1:21">
      <c r="A57" s="642">
        <v>2007</v>
      </c>
      <c r="B57" s="641">
        <v>286.79789654863561</v>
      </c>
      <c r="C57" s="635">
        <v>2703.6957470142597</v>
      </c>
      <c r="D57" s="635">
        <v>7122.8852841586249</v>
      </c>
      <c r="E57" s="634">
        <v>88065.874441732492</v>
      </c>
      <c r="F57" s="639">
        <v>442676.75714160182</v>
      </c>
      <c r="G57" s="636">
        <v>21.135974360879114</v>
      </c>
      <c r="H57" s="634">
        <v>1539.6174690077498</v>
      </c>
      <c r="I57" s="639">
        <v>2079282.070390793</v>
      </c>
      <c r="J57" s="636">
        <v>105815.567379157</v>
      </c>
      <c r="K57" s="634">
        <v>30103.246635557702</v>
      </c>
      <c r="L57" s="635">
        <v>294027.60562278749</v>
      </c>
      <c r="M57" s="636">
        <v>0</v>
      </c>
      <c r="N57" s="634">
        <v>0</v>
      </c>
      <c r="O57" s="635">
        <v>0</v>
      </c>
      <c r="P57" s="636">
        <v>0</v>
      </c>
      <c r="Q57" s="588">
        <v>3051645.2539827195</v>
      </c>
      <c r="R57" s="643">
        <v>2007</v>
      </c>
      <c r="S57" s="638">
        <v>786913</v>
      </c>
      <c r="T57" s="440">
        <f t="shared" si="2"/>
        <v>3</v>
      </c>
      <c r="U57" s="440">
        <f t="shared" ref="U57" si="3">RANK(F57,$F$11:$F$64)</f>
        <v>7</v>
      </c>
    </row>
    <row r="58" spans="1:21">
      <c r="A58" s="872">
        <v>2008</v>
      </c>
      <c r="B58" s="641">
        <v>108.38835251698603</v>
      </c>
      <c r="C58" s="635">
        <v>647.33814066849902</v>
      </c>
      <c r="D58" s="635">
        <v>1305.1566504371583</v>
      </c>
      <c r="E58" s="634">
        <v>66185.625305681635</v>
      </c>
      <c r="F58" s="639">
        <v>456063.26080517849</v>
      </c>
      <c r="G58" s="636">
        <v>81.650962548750726</v>
      </c>
      <c r="H58" s="634">
        <v>723.7254043873578</v>
      </c>
      <c r="I58" s="639">
        <v>1478040.9578396173</v>
      </c>
      <c r="J58" s="636">
        <v>85321.32444397136</v>
      </c>
      <c r="K58" s="634">
        <v>3376.3317495983974</v>
      </c>
      <c r="L58" s="635">
        <v>179046.95112404649</v>
      </c>
      <c r="M58" s="636"/>
      <c r="N58" s="634"/>
      <c r="O58" s="635"/>
      <c r="P58" s="636"/>
      <c r="Q58" s="588">
        <v>2270900.7107786527</v>
      </c>
      <c r="R58" s="643">
        <v>2008</v>
      </c>
      <c r="S58" s="638">
        <v>615240</v>
      </c>
      <c r="T58" s="440">
        <f t="shared" si="2"/>
        <v>19</v>
      </c>
    </row>
    <row r="59" spans="1:21">
      <c r="A59" s="642">
        <v>2009</v>
      </c>
      <c r="B59" s="641">
        <v>21.135974360879114</v>
      </c>
      <c r="C59" s="635">
        <v>4431.9154839525181</v>
      </c>
      <c r="D59" s="635">
        <v>2886.4787766376294</v>
      </c>
      <c r="E59" s="634">
        <v>21868.070898967042</v>
      </c>
      <c r="F59" s="639">
        <v>650733.61710635398</v>
      </c>
      <c r="G59" s="636">
        <v>50.692215197238276</v>
      </c>
      <c r="H59" s="634">
        <v>431.06250261405228</v>
      </c>
      <c r="I59" s="639">
        <v>1875957.0948617512</v>
      </c>
      <c r="J59" s="636">
        <v>88660.226537754381</v>
      </c>
      <c r="K59" s="634"/>
      <c r="L59" s="635"/>
      <c r="M59" s="636"/>
      <c r="N59" s="634"/>
      <c r="O59" s="635"/>
      <c r="P59" s="636"/>
      <c r="Q59" s="588">
        <v>2645040.294357589</v>
      </c>
      <c r="R59" s="643">
        <v>2009</v>
      </c>
      <c r="S59" s="638">
        <v>604964</v>
      </c>
      <c r="T59" s="440">
        <f t="shared" si="2"/>
        <v>23</v>
      </c>
    </row>
    <row r="60" spans="1:21">
      <c r="A60" s="642">
        <v>2010</v>
      </c>
      <c r="B60" s="641">
        <v>0</v>
      </c>
      <c r="C60" s="635">
        <v>1462.4071264993372</v>
      </c>
      <c r="D60" s="635">
        <v>1640.2265185314393</v>
      </c>
      <c r="E60" s="634">
        <v>13485.463639855541</v>
      </c>
      <c r="F60" s="639">
        <v>696926.54247166798</v>
      </c>
      <c r="G60" s="636">
        <v>678.45773587678514</v>
      </c>
      <c r="H60" s="634"/>
      <c r="I60" s="639"/>
      <c r="J60" s="636"/>
      <c r="K60" s="634"/>
      <c r="L60" s="635"/>
      <c r="M60" s="636"/>
      <c r="N60" s="634"/>
      <c r="O60" s="635"/>
      <c r="P60" s="636"/>
      <c r="Q60" s="588"/>
      <c r="R60" s="643">
        <v>2010</v>
      </c>
      <c r="S60" s="638">
        <v>668242</v>
      </c>
      <c r="T60" s="440">
        <f t="shared" si="2"/>
        <v>11</v>
      </c>
    </row>
    <row r="61" spans="1:21">
      <c r="A61" s="642">
        <v>2011</v>
      </c>
      <c r="B61" s="641">
        <v>0</v>
      </c>
      <c r="C61" s="635">
        <v>2443.0341520247948</v>
      </c>
      <c r="D61" s="635">
        <v>11010.173564230177</v>
      </c>
      <c r="E61" s="996"/>
      <c r="F61" s="639"/>
      <c r="G61" s="636"/>
      <c r="H61" s="634"/>
      <c r="I61" s="639"/>
      <c r="J61" s="636"/>
      <c r="K61" s="634"/>
      <c r="L61" s="635"/>
      <c r="M61" s="636"/>
      <c r="N61" s="634"/>
      <c r="O61" s="635"/>
      <c r="P61" s="636"/>
      <c r="Q61" s="588"/>
      <c r="R61" s="643">
        <v>2011</v>
      </c>
      <c r="S61" s="638">
        <v>759798</v>
      </c>
      <c r="T61" s="440">
        <f t="shared" si="2"/>
        <v>6</v>
      </c>
    </row>
    <row r="62" spans="1:21">
      <c r="A62" s="642">
        <v>2012</v>
      </c>
      <c r="B62" s="641">
        <v>0</v>
      </c>
      <c r="C62" s="635"/>
      <c r="D62" s="635"/>
      <c r="E62" s="996"/>
      <c r="F62" s="996"/>
      <c r="G62" s="996"/>
      <c r="H62" s="996"/>
      <c r="I62" s="996"/>
      <c r="J62" s="996"/>
      <c r="K62" s="996"/>
      <c r="L62" s="996"/>
      <c r="M62" s="996"/>
      <c r="N62" s="996"/>
      <c r="O62" s="996"/>
      <c r="P62" s="996"/>
      <c r="Q62" s="588"/>
      <c r="R62" s="643">
        <v>2012</v>
      </c>
      <c r="S62" s="639"/>
      <c r="T62" s="440"/>
    </row>
    <row r="63" spans="1:21">
      <c r="R63" s="643"/>
      <c r="T63" s="440"/>
    </row>
    <row r="64" spans="1:21">
      <c r="T64" s="440"/>
    </row>
    <row r="65" spans="1:20">
      <c r="T65" s="440"/>
    </row>
    <row r="66" spans="1:20">
      <c r="S66" s="227"/>
      <c r="T66" s="517"/>
    </row>
    <row r="67" spans="1:20">
      <c r="A67" s="406" t="s">
        <v>26</v>
      </c>
      <c r="B67" s="434">
        <f>AVERAGEA(B8:B66)</f>
        <v>153.33942735610879</v>
      </c>
      <c r="C67" s="434">
        <f>AVERAGEA(C8:C66)</f>
        <v>10732.451061495311</v>
      </c>
      <c r="D67" s="434">
        <f>AVERAGEA(D8:D66)</f>
        <v>18280.92825787545</v>
      </c>
      <c r="E67" s="434">
        <f>AVERAGEA(E8:E66)</f>
        <v>85190.240503474604</v>
      </c>
      <c r="F67" s="434">
        <f>AVERAGEA(F8:F66)</f>
        <v>253353.68220513631</v>
      </c>
      <c r="G67" s="434">
        <f t="shared" ref="G67:P67" si="4">AVERAGEA(G8:G66)</f>
        <v>284.02825205905179</v>
      </c>
      <c r="H67" s="434">
        <f t="shared" si="4"/>
        <v>1008.1337287123644</v>
      </c>
      <c r="I67" s="434">
        <f t="shared" si="4"/>
        <v>1095829.652523098</v>
      </c>
      <c r="J67" s="434">
        <f t="shared" si="4"/>
        <v>28163.269759574392</v>
      </c>
      <c r="K67" s="434">
        <f t="shared" si="4"/>
        <v>6811.3859883396071</v>
      </c>
      <c r="L67" s="434">
        <f t="shared" si="4"/>
        <v>116719.24056128574</v>
      </c>
      <c r="M67" s="434">
        <f t="shared" si="4"/>
        <v>38.3682739732321</v>
      </c>
      <c r="N67" s="434">
        <f t="shared" si="4"/>
        <v>76.428527655440405</v>
      </c>
      <c r="O67" s="434">
        <f t="shared" si="4"/>
        <v>452.99715283797377</v>
      </c>
      <c r="P67" s="434">
        <f t="shared" si="4"/>
        <v>133.63711587970494</v>
      </c>
      <c r="R67" s="401"/>
      <c r="S67" s="923"/>
      <c r="T67" s="227"/>
    </row>
    <row r="68" spans="1:20">
      <c r="B68" s="249"/>
      <c r="S68" s="923"/>
      <c r="T68" s="227"/>
    </row>
    <row r="69" spans="1:20">
      <c r="R69" s="54"/>
      <c r="S69" s="923"/>
      <c r="T69" s="227"/>
    </row>
    <row r="70" spans="1:20">
      <c r="S70" s="227"/>
      <c r="T70" s="227"/>
    </row>
  </sheetData>
  <phoneticPr fontId="60" type="noConversion"/>
  <pageMargins left="0.55000000000000004" right="0.50800000000000001" top="0.5" bottom="1" header="0.5" footer="0.5"/>
  <pageSetup scale="37" orientation="portrait" horizontalDpi="300" verticalDpi="300" r:id="rId1"/>
  <headerFooter alignWithMargins="0"/>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transitionEntry="1" codeName="Sheet5">
    <pageSetUpPr fitToPage="1"/>
  </sheetPr>
  <dimension ref="A1:AW89"/>
  <sheetViews>
    <sheetView zoomScale="75" zoomScaleNormal="75" workbookViewId="0">
      <pane xSplit="1" ySplit="7" topLeftCell="B32" activePane="bottomRight" state="frozen"/>
      <selection activeCell="W48" sqref="W48"/>
      <selection pane="topRight" activeCell="W48" sqref="W48"/>
      <selection pane="bottomLeft" activeCell="W48" sqref="W48"/>
      <selection pane="bottomRight" activeCell="E70" sqref="E70"/>
    </sheetView>
  </sheetViews>
  <sheetFormatPr defaultColWidth="9.6640625" defaultRowHeight="15"/>
  <cols>
    <col min="1" max="1" width="8.77734375" customWidth="1"/>
    <col min="2" max="2" width="12" customWidth="1"/>
    <col min="3" max="3" width="9.109375" customWidth="1"/>
    <col min="4" max="4" width="5.33203125" customWidth="1"/>
    <col min="5" max="5" width="9.109375" bestFit="1" customWidth="1"/>
    <col min="6" max="8" width="7.6640625" customWidth="1"/>
    <col min="9" max="9" width="10.21875" customWidth="1"/>
    <col min="10" max="10" width="5.6640625" customWidth="1"/>
    <col min="12" max="12" width="8.6640625" customWidth="1"/>
    <col min="13" max="13" width="10.44140625" customWidth="1"/>
    <col min="14" max="14" width="9.77734375" customWidth="1"/>
    <col min="15" max="15" width="10.109375" customWidth="1"/>
    <col min="17" max="17" width="6.6640625" customWidth="1"/>
    <col min="18" max="19" width="7.6640625" customWidth="1"/>
    <col min="20" max="20" width="9.33203125" customWidth="1"/>
    <col min="21" max="21" width="5.6640625" customWidth="1"/>
    <col min="22" max="22" width="10.6640625" customWidth="1"/>
    <col min="23" max="23" width="6.6640625" customWidth="1"/>
    <col min="24" max="24" width="7.6640625" customWidth="1"/>
    <col min="25" max="25" width="6.6640625" customWidth="1"/>
    <col min="26" max="26" width="10.21875" customWidth="1"/>
    <col min="27" max="27" width="10" customWidth="1"/>
    <col min="28" max="28" width="6.6640625" customWidth="1"/>
    <col min="29" max="29" width="7.6640625" customWidth="1"/>
    <col min="30" max="30" width="6.6640625" customWidth="1"/>
    <col min="31" max="31" width="9.109375" customWidth="1"/>
    <col min="32" max="32" width="5.6640625" customWidth="1"/>
    <col min="33" max="33" width="9.109375" bestFit="1" customWidth="1"/>
    <col min="34" max="34" width="6.6640625" customWidth="1"/>
    <col min="35" max="35" width="7.6640625" customWidth="1"/>
    <col min="36" max="36" width="6.6640625" customWidth="1"/>
    <col min="37" max="37" width="9" customWidth="1"/>
    <col min="38" max="38" width="2.6640625" customWidth="1"/>
    <col min="39" max="39" width="6.6640625" customWidth="1"/>
    <col min="40" max="40" width="10.6640625" bestFit="1" customWidth="1"/>
    <col min="45" max="45" width="11.6640625" style="13" customWidth="1"/>
    <col min="46" max="46" width="9.6640625" style="13"/>
  </cols>
  <sheetData>
    <row r="1" spans="1:48">
      <c r="A1" t="s">
        <v>0</v>
      </c>
      <c r="B1" s="440" t="str">
        <f ca="1">CELL("filename",B2)</f>
        <v>O:\DCF\SALMON\FORECAST\2015\[2015_Copper River Wild Sockeye forecast_FINAL.xlsm]Brd Tbl</v>
      </c>
      <c r="I1" t="s">
        <v>130</v>
      </c>
      <c r="AV1" s="440" t="str">
        <f ca="1">CELL("filename",A1)</f>
        <v>O:\DCF\SALMON\FORECAST\2015\[2015_Copper River Wild Sockeye forecast_FINAL.xlsm]Brd Tbl</v>
      </c>
    </row>
    <row r="3" spans="1:48" ht="20.25">
      <c r="B3" s="407" t="s">
        <v>325</v>
      </c>
    </row>
    <row r="4" spans="1:48">
      <c r="F4" s="116"/>
      <c r="Q4" s="116"/>
      <c r="W4" s="116"/>
      <c r="AB4" s="116"/>
      <c r="AH4" s="116"/>
      <c r="AN4" s="58" t="s">
        <v>131</v>
      </c>
      <c r="AO4" s="40"/>
      <c r="AP4" s="40"/>
      <c r="AQ4" s="40"/>
      <c r="AR4" s="117"/>
      <c r="AS4"/>
      <c r="AT4"/>
    </row>
    <row r="5" spans="1:48" ht="15.75">
      <c r="A5" s="447" t="s">
        <v>23</v>
      </c>
      <c r="B5" s="31" t="s">
        <v>132</v>
      </c>
      <c r="C5" s="117" t="s">
        <v>133</v>
      </c>
      <c r="D5" s="118" t="s">
        <v>29</v>
      </c>
      <c r="E5" s="119"/>
      <c r="F5" s="119"/>
      <c r="G5" s="201" t="s">
        <v>134</v>
      </c>
      <c r="H5" s="119"/>
      <c r="I5" s="120"/>
      <c r="J5" s="118" t="s">
        <v>29</v>
      </c>
      <c r="K5" s="121"/>
      <c r="L5" s="119"/>
      <c r="M5" s="201" t="s">
        <v>135</v>
      </c>
      <c r="N5" s="119"/>
      <c r="O5" s="120"/>
      <c r="P5" s="121"/>
      <c r="Q5" s="119"/>
      <c r="R5" s="201" t="s">
        <v>136</v>
      </c>
      <c r="S5" s="119"/>
      <c r="T5" s="120"/>
      <c r="U5" s="118" t="s">
        <v>29</v>
      </c>
      <c r="V5" s="119"/>
      <c r="W5" s="119"/>
      <c r="X5" s="201" t="s">
        <v>137</v>
      </c>
      <c r="Y5" s="119"/>
      <c r="Z5" s="120"/>
      <c r="AA5" s="121"/>
      <c r="AB5" s="119"/>
      <c r="AC5" s="201" t="s">
        <v>138</v>
      </c>
      <c r="AD5" s="119"/>
      <c r="AE5" s="120"/>
      <c r="AF5" s="118" t="s">
        <v>29</v>
      </c>
      <c r="AG5" s="121"/>
      <c r="AH5" s="119"/>
      <c r="AI5" s="201" t="s">
        <v>139</v>
      </c>
      <c r="AJ5" s="119"/>
      <c r="AK5" s="120"/>
      <c r="AM5" s="122" t="s">
        <v>23</v>
      </c>
      <c r="AN5" s="122" t="s">
        <v>128</v>
      </c>
      <c r="AR5" s="47"/>
      <c r="AS5"/>
      <c r="AT5"/>
    </row>
    <row r="6" spans="1:48" ht="18.75">
      <c r="A6" s="448" t="s">
        <v>27</v>
      </c>
      <c r="B6" s="44" t="s">
        <v>140</v>
      </c>
      <c r="C6" s="202" t="s">
        <v>141</v>
      </c>
      <c r="D6" s="124" t="s">
        <v>27</v>
      </c>
      <c r="E6" s="203" t="s">
        <v>142</v>
      </c>
      <c r="F6" s="203" t="s">
        <v>143</v>
      </c>
      <c r="G6" s="403" t="s">
        <v>313</v>
      </c>
      <c r="H6" s="203" t="s">
        <v>144</v>
      </c>
      <c r="I6" s="404" t="s">
        <v>314</v>
      </c>
      <c r="J6" s="124" t="s">
        <v>27</v>
      </c>
      <c r="K6" s="204" t="s">
        <v>142</v>
      </c>
      <c r="L6" s="203" t="s">
        <v>143</v>
      </c>
      <c r="M6" s="403" t="s">
        <v>313</v>
      </c>
      <c r="N6" s="203" t="s">
        <v>144</v>
      </c>
      <c r="O6" s="404" t="s">
        <v>314</v>
      </c>
      <c r="P6" s="204" t="s">
        <v>142</v>
      </c>
      <c r="Q6" s="203" t="s">
        <v>143</v>
      </c>
      <c r="R6" s="403" t="s">
        <v>313</v>
      </c>
      <c r="S6" s="203" t="s">
        <v>144</v>
      </c>
      <c r="T6" s="404" t="s">
        <v>314</v>
      </c>
      <c r="U6" s="124" t="s">
        <v>27</v>
      </c>
      <c r="V6" s="203" t="s">
        <v>142</v>
      </c>
      <c r="W6" s="203" t="s">
        <v>143</v>
      </c>
      <c r="X6" s="403" t="s">
        <v>313</v>
      </c>
      <c r="Y6" s="203" t="s">
        <v>144</v>
      </c>
      <c r="Z6" s="404" t="s">
        <v>314</v>
      </c>
      <c r="AA6" s="204" t="s">
        <v>142</v>
      </c>
      <c r="AB6" s="203" t="s">
        <v>143</v>
      </c>
      <c r="AC6" s="403" t="s">
        <v>313</v>
      </c>
      <c r="AD6" s="203" t="s">
        <v>144</v>
      </c>
      <c r="AE6" s="404" t="s">
        <v>314</v>
      </c>
      <c r="AF6" s="124" t="s">
        <v>27</v>
      </c>
      <c r="AG6" s="204" t="s">
        <v>142</v>
      </c>
      <c r="AH6" s="203" t="s">
        <v>143</v>
      </c>
      <c r="AI6" s="403" t="s">
        <v>313</v>
      </c>
      <c r="AJ6" s="203" t="s">
        <v>144</v>
      </c>
      <c r="AK6" s="404" t="s">
        <v>314</v>
      </c>
      <c r="AM6" s="125" t="s">
        <v>27</v>
      </c>
      <c r="AN6" s="125" t="s">
        <v>29</v>
      </c>
      <c r="AO6" s="203" t="s">
        <v>143</v>
      </c>
      <c r="AP6" s="403" t="s">
        <v>313</v>
      </c>
      <c r="AQ6" s="203" t="s">
        <v>144</v>
      </c>
      <c r="AR6" s="404" t="s">
        <v>314</v>
      </c>
      <c r="AS6" s="324" t="s">
        <v>410</v>
      </c>
      <c r="AT6" s="324" t="s">
        <v>613</v>
      </c>
    </row>
    <row r="7" spans="1:48">
      <c r="A7" s="443">
        <v>1</v>
      </c>
      <c r="B7" s="444">
        <v>2</v>
      </c>
      <c r="C7" s="444">
        <v>3</v>
      </c>
      <c r="D7" s="444">
        <v>4</v>
      </c>
      <c r="E7" s="444">
        <v>5</v>
      </c>
      <c r="F7" s="444">
        <v>6</v>
      </c>
      <c r="G7" s="444">
        <v>7</v>
      </c>
      <c r="H7" s="444">
        <v>8</v>
      </c>
      <c r="I7" s="444">
        <v>9</v>
      </c>
      <c r="J7" s="444">
        <v>10</v>
      </c>
      <c r="K7" s="444">
        <v>11</v>
      </c>
      <c r="L7" s="444">
        <v>12</v>
      </c>
      <c r="M7" s="444">
        <v>13</v>
      </c>
      <c r="N7" s="444">
        <v>14</v>
      </c>
      <c r="O7" s="444">
        <v>15</v>
      </c>
      <c r="P7" s="444">
        <v>16</v>
      </c>
      <c r="Q7" s="444">
        <v>17</v>
      </c>
      <c r="R7" s="444">
        <v>18</v>
      </c>
      <c r="S7" s="444">
        <v>19</v>
      </c>
      <c r="T7" s="444">
        <v>20</v>
      </c>
      <c r="U7" s="444">
        <v>21</v>
      </c>
      <c r="V7" s="444">
        <v>22</v>
      </c>
      <c r="W7" s="444">
        <v>23</v>
      </c>
      <c r="X7" s="444">
        <v>24</v>
      </c>
      <c r="Y7" s="444">
        <v>25</v>
      </c>
      <c r="Z7" s="444">
        <v>26</v>
      </c>
      <c r="AA7" s="444">
        <v>27</v>
      </c>
      <c r="AB7" s="444">
        <v>28</v>
      </c>
      <c r="AC7" s="444">
        <v>29</v>
      </c>
      <c r="AD7" s="444">
        <v>30</v>
      </c>
      <c r="AE7" s="444">
        <v>31</v>
      </c>
      <c r="AF7" s="444">
        <v>32</v>
      </c>
      <c r="AG7" s="444">
        <v>33</v>
      </c>
      <c r="AH7" s="444">
        <v>34</v>
      </c>
      <c r="AI7" s="444">
        <v>35</v>
      </c>
      <c r="AJ7" s="444">
        <v>36</v>
      </c>
      <c r="AK7" s="445">
        <v>37</v>
      </c>
      <c r="AL7" s="445"/>
      <c r="AM7" s="445">
        <v>39</v>
      </c>
      <c r="AN7" s="445">
        <v>40</v>
      </c>
      <c r="AO7" s="445">
        <v>41</v>
      </c>
      <c r="AP7" s="445">
        <v>42</v>
      </c>
      <c r="AQ7" s="445">
        <v>43</v>
      </c>
      <c r="AR7" s="445">
        <v>44</v>
      </c>
      <c r="AS7" s="445">
        <v>45</v>
      </c>
      <c r="AT7"/>
    </row>
    <row r="8" spans="1:48">
      <c r="A8" s="405">
        <v>1961</v>
      </c>
      <c r="B8" s="129">
        <f>'Brd Link'!S11</f>
        <v>343140.4274872489</v>
      </c>
      <c r="C8" s="436">
        <f>LN(B8)</f>
        <v>12.745895051946658</v>
      </c>
      <c r="D8" s="435">
        <f t="shared" ref="D8:D52" si="0">A8+3</f>
        <v>1964</v>
      </c>
      <c r="E8" s="129"/>
      <c r="J8" s="435">
        <f t="shared" ref="J8:J57" si="1">$A8+4</f>
        <v>1965</v>
      </c>
      <c r="K8" s="795">
        <f>'Brd Link'!E11</f>
        <v>71615.903745300515</v>
      </c>
      <c r="L8" s="436">
        <f>LN(K8)</f>
        <v>11.179072447631659</v>
      </c>
      <c r="M8" s="436">
        <f>L8^2</f>
        <v>124.9716607893973</v>
      </c>
      <c r="N8" s="436">
        <f>LN(K8/$B8)</f>
        <v>-1.5668226043149975</v>
      </c>
      <c r="O8" s="436">
        <f>N8^2</f>
        <v>2.4549330733924313</v>
      </c>
      <c r="P8" s="129">
        <f>'Brd Link'!F11</f>
        <v>179040.49850974398</v>
      </c>
      <c r="Q8" s="436">
        <f t="shared" ref="Q8:Q52" si="2">LN(P8)</f>
        <v>12.095367307890312</v>
      </c>
      <c r="R8" s="436">
        <f t="shared" ref="R8:R52" si="3">Q8^2</f>
        <v>146.29791031278174</v>
      </c>
      <c r="S8" s="436">
        <f>LN(P8/$B8)</f>
        <v>-0.65052774405634506</v>
      </c>
      <c r="T8" s="436">
        <f t="shared" ref="T8:T52" si="4">S8^2</f>
        <v>0.42318634578703757</v>
      </c>
      <c r="U8" s="435">
        <f t="shared" ref="U8:U43" si="5">A8+5</f>
        <v>1966</v>
      </c>
      <c r="V8" s="129">
        <f>'Brd Link'!I11</f>
        <v>1182522.7542456505</v>
      </c>
      <c r="W8" s="436">
        <f>LN(V8)</f>
        <v>13.983160641654127</v>
      </c>
      <c r="X8" s="436">
        <f>W8^2</f>
        <v>195.52878153030505</v>
      </c>
      <c r="Y8" s="436">
        <f>LN(V8/$B8)</f>
        <v>1.23726558970747</v>
      </c>
      <c r="Z8" s="437">
        <f>Y8^2</f>
        <v>1.5308261394741736</v>
      </c>
      <c r="AA8" s="796">
        <f>'Brd Link'!J11</f>
        <v>8416.1554445970542</v>
      </c>
      <c r="AB8" s="436">
        <f t="shared" ref="AB8:AB51" si="6">LN(AA8)</f>
        <v>9.0379084049348979</v>
      </c>
      <c r="AC8" s="436">
        <f t="shared" ref="AC8:AC51" si="7">AB8^2</f>
        <v>81.683788335992872</v>
      </c>
      <c r="AD8" s="436">
        <f>LN(AA8/$B8)</f>
        <v>-3.7079866470117597</v>
      </c>
      <c r="AE8" s="437">
        <f t="shared" ref="AE8:AE51" si="8">AD8^2</f>
        <v>13.749164974417512</v>
      </c>
      <c r="AF8" s="435">
        <f t="shared" ref="AF8:AF42" si="9">A8+6</f>
        <v>1967</v>
      </c>
      <c r="AG8" s="817">
        <f>'Brd Link'!L11</f>
        <v>13577.697815812178</v>
      </c>
      <c r="AH8" s="438">
        <f t="shared" ref="AH8:AH50" si="10">LN(AG8)</f>
        <v>9.5161838591869348</v>
      </c>
      <c r="AI8" s="438">
        <f t="shared" ref="AI8:AI50" si="11">AH8^2</f>
        <v>90.557755241849947</v>
      </c>
      <c r="AJ8" s="438">
        <f t="shared" ref="AJ8:AJ38" si="12">LN(AG8/$B8)</f>
        <v>-3.2297111927597215</v>
      </c>
      <c r="AK8" s="439">
        <f t="shared" ref="AK8:AK50" si="13">AJ8^2</f>
        <v>10.431034388637423</v>
      </c>
      <c r="AM8" s="23">
        <v>1961</v>
      </c>
      <c r="AN8" s="442">
        <f t="shared" ref="AN8:AN43" si="14">AG8+AA8+V8+P8+K8+E8</f>
        <v>1455173.0097611044</v>
      </c>
      <c r="AO8" s="438">
        <f t="shared" ref="AO8:AO50" si="15">LN(AN8)</f>
        <v>14.190635358571152</v>
      </c>
      <c r="AP8" s="438">
        <f t="shared" ref="AP8:AP50" si="16">AO8^2</f>
        <v>201.37413187992979</v>
      </c>
      <c r="AQ8" s="438">
        <f t="shared" ref="AQ8:AQ38" si="17">LN(AN8/$B8)</f>
        <v>1.4447403066244953</v>
      </c>
      <c r="AR8" s="439">
        <f t="shared" ref="AR8:AR50" si="18">AQ8^2</f>
        <v>2.0872745535854405</v>
      </c>
      <c r="AS8" s="774">
        <f>AN8/B8</f>
        <v>4.2407507049433244</v>
      </c>
      <c r="AT8" s="1117">
        <f>AN8-B8</f>
        <v>1112032.5822738553</v>
      </c>
    </row>
    <row r="9" spans="1:48">
      <c r="A9" s="405">
        <v>1962</v>
      </c>
      <c r="B9" s="129">
        <f>'Brd Link'!S12</f>
        <v>416093.18072477408</v>
      </c>
      <c r="C9" s="436">
        <f t="shared" ref="C9:C47" si="19">LN(B9)</f>
        <v>12.93866450628777</v>
      </c>
      <c r="D9" s="435">
        <f t="shared" si="0"/>
        <v>1965</v>
      </c>
      <c r="E9" s="129">
        <f>'Brd Link'!D12</f>
        <v>14503.370800193386</v>
      </c>
      <c r="F9" s="436">
        <f t="shared" ref="F9:F53" si="20">LN(E9)</f>
        <v>9.5821363703707938</v>
      </c>
      <c r="G9" s="436">
        <f>F9^2</f>
        <v>91.817337420382771</v>
      </c>
      <c r="H9" s="436">
        <f>LN(E9/$B9)</f>
        <v>-3.3565281359169763</v>
      </c>
      <c r="I9" s="436">
        <f t="shared" ref="I9:I53" si="21">H9^2</f>
        <v>11.266281127202292</v>
      </c>
      <c r="J9" s="435">
        <f t="shared" si="1"/>
        <v>1966</v>
      </c>
      <c r="K9" s="795">
        <f>'Brd Link'!E12</f>
        <v>47693.868321127309</v>
      </c>
      <c r="L9" s="436">
        <f t="shared" ref="L9:L52" si="22">LN(K9)</f>
        <v>10.772558121886703</v>
      </c>
      <c r="M9" s="436">
        <f t="shared" ref="M9:M52" si="23">L9^2</f>
        <v>116.04800848942718</v>
      </c>
      <c r="N9" s="436">
        <f t="shared" ref="N9:N45" si="24">LN(K9/$B9)</f>
        <v>-2.1661063844010671</v>
      </c>
      <c r="O9" s="436">
        <f t="shared" ref="O9:O52" si="25">N9^2</f>
        <v>4.692016868543063</v>
      </c>
      <c r="P9" s="129">
        <f>'Brd Link'!F12</f>
        <v>102401.66367310109</v>
      </c>
      <c r="Q9" s="436">
        <f t="shared" si="2"/>
        <v>11.536658238263195</v>
      </c>
      <c r="R9" s="436">
        <f t="shared" si="3"/>
        <v>133.09448330648604</v>
      </c>
      <c r="S9" s="436">
        <f>LN(P9/$B9)</f>
        <v>-1.4020062680245757</v>
      </c>
      <c r="T9" s="436">
        <f t="shared" si="4"/>
        <v>1.9656215755801985</v>
      </c>
      <c r="U9" s="435">
        <f t="shared" si="5"/>
        <v>1967</v>
      </c>
      <c r="V9" s="129">
        <f>'Brd Link'!I12</f>
        <v>560800.76741469896</v>
      </c>
      <c r="W9" s="436">
        <f t="shared" ref="W9:W51" si="26">LN(V9)</f>
        <v>13.237120983130074</v>
      </c>
      <c r="X9" s="436">
        <f t="shared" ref="X9:X51" si="27">W9^2</f>
        <v>175.22137192202251</v>
      </c>
      <c r="Y9" s="436">
        <f t="shared" ref="Y9:Y43" si="28">LN(V9/$B9)</f>
        <v>0.2984564768423042</v>
      </c>
      <c r="Z9" s="437">
        <f t="shared" ref="Z9:Z51" si="29">Y9^2</f>
        <v>8.9076268569120862E-2</v>
      </c>
      <c r="AA9" s="796">
        <f>'Brd Link'!J12</f>
        <v>9730.8429891859741</v>
      </c>
      <c r="AB9" s="436">
        <f t="shared" si="6"/>
        <v>9.1830558095757926</v>
      </c>
      <c r="AC9" s="436">
        <f t="shared" si="7"/>
        <v>84.328514001783716</v>
      </c>
      <c r="AD9" s="436">
        <f t="shared" ref="AD9:AD43" si="30">LN(AA9/$B9)</f>
        <v>-3.7556086967119771</v>
      </c>
      <c r="AE9" s="437">
        <f t="shared" si="8"/>
        <v>14.104596682818634</v>
      </c>
      <c r="AF9" s="435">
        <f t="shared" si="9"/>
        <v>1968</v>
      </c>
      <c r="AG9" s="795">
        <f>'Brd Link'!L12</f>
        <v>27892.785037503665</v>
      </c>
      <c r="AH9" s="436">
        <f t="shared" si="10"/>
        <v>10.236123333560183</v>
      </c>
      <c r="AI9" s="436">
        <f t="shared" si="11"/>
        <v>104.77822089985524</v>
      </c>
      <c r="AJ9" s="436">
        <f t="shared" si="12"/>
        <v>-2.7025411727275879</v>
      </c>
      <c r="AK9" s="437">
        <f t="shared" si="13"/>
        <v>7.3037287902878063</v>
      </c>
      <c r="AM9" s="23">
        <v>1962</v>
      </c>
      <c r="AN9" s="442">
        <f t="shared" si="14"/>
        <v>763023.29823581036</v>
      </c>
      <c r="AO9" s="436">
        <f t="shared" si="15"/>
        <v>13.545043844840789</v>
      </c>
      <c r="AP9" s="436">
        <f t="shared" si="16"/>
        <v>183.46821275865935</v>
      </c>
      <c r="AQ9" s="436">
        <f t="shared" si="17"/>
        <v>0.60637933855301962</v>
      </c>
      <c r="AR9" s="437">
        <f t="shared" si="18"/>
        <v>0.36769590222399756</v>
      </c>
      <c r="AS9" s="774">
        <f t="shared" ref="AS9:AS49" si="31">AN9/B9</f>
        <v>1.8337798685062183</v>
      </c>
      <c r="AT9" s="1117">
        <f t="shared" ref="AT9:AT53" si="32">AN9-B9</f>
        <v>346930.11751103628</v>
      </c>
    </row>
    <row r="10" spans="1:48">
      <c r="A10" s="405">
        <v>1963</v>
      </c>
      <c r="B10" s="129">
        <f>'Brd Link'!S13</f>
        <v>271007.35305366298</v>
      </c>
      <c r="C10" s="436">
        <f t="shared" si="19"/>
        <v>12.509901232533091</v>
      </c>
      <c r="D10" s="435">
        <f t="shared" si="0"/>
        <v>1966</v>
      </c>
      <c r="E10" s="129">
        <f>'Brd Link'!D13</f>
        <v>12894.07414217453</v>
      </c>
      <c r="F10" s="436">
        <f t="shared" si="20"/>
        <v>9.4645231159839032</v>
      </c>
      <c r="G10" s="436">
        <f t="shared" ref="G10:G53" si="33">F10^2</f>
        <v>89.577197812993646</v>
      </c>
      <c r="H10" s="436">
        <f t="shared" ref="H10:H45" si="34">LN(E10/$B10)</f>
        <v>-3.045378116549188</v>
      </c>
      <c r="I10" s="436">
        <f t="shared" si="21"/>
        <v>9.2743278727566789</v>
      </c>
      <c r="J10" s="435">
        <f t="shared" si="1"/>
        <v>1967</v>
      </c>
      <c r="K10" s="795">
        <f>'Brd Link'!E13</f>
        <v>4236.0565954447939</v>
      </c>
      <c r="L10" s="436">
        <f t="shared" si="22"/>
        <v>8.3513880672186342</v>
      </c>
      <c r="M10" s="436">
        <f t="shared" si="23"/>
        <v>69.74568264928179</v>
      </c>
      <c r="N10" s="436">
        <f t="shared" si="24"/>
        <v>-4.1585131653144556</v>
      </c>
      <c r="O10" s="436">
        <f t="shared" si="25"/>
        <v>17.293231746093653</v>
      </c>
      <c r="P10" s="129">
        <f>'Brd Link'!F13</f>
        <v>97592.469650151805</v>
      </c>
      <c r="Q10" s="436">
        <f t="shared" si="2"/>
        <v>11.488555614200711</v>
      </c>
      <c r="R10" s="436">
        <f t="shared" si="3"/>
        <v>131.98691010058269</v>
      </c>
      <c r="S10" s="436">
        <f t="shared" ref="S10:S45" si="35">LN(P10/$B10)</f>
        <v>-1.0213456183323786</v>
      </c>
      <c r="T10" s="436">
        <f t="shared" si="4"/>
        <v>1.0431468720867487</v>
      </c>
      <c r="U10" s="435">
        <f t="shared" si="5"/>
        <v>1968</v>
      </c>
      <c r="V10" s="129">
        <f>'Brd Link'!I13</f>
        <v>491920.16191207559</v>
      </c>
      <c r="W10" s="436">
        <f t="shared" si="26"/>
        <v>13.106071709770401</v>
      </c>
      <c r="X10" s="436">
        <f t="shared" si="27"/>
        <v>171.76911566164404</v>
      </c>
      <c r="Y10" s="436">
        <f t="shared" si="28"/>
        <v>0.59617047723731031</v>
      </c>
      <c r="Z10" s="437">
        <f t="shared" si="29"/>
        <v>0.35541923792936231</v>
      </c>
      <c r="AA10" s="796">
        <f>'Brd Link'!J13</f>
        <v>11635.393626492296</v>
      </c>
      <c r="AB10" s="436">
        <f t="shared" si="6"/>
        <v>9.361806906405409</v>
      </c>
      <c r="AC10" s="436">
        <f t="shared" si="7"/>
        <v>87.643428552820012</v>
      </c>
      <c r="AD10" s="436">
        <f t="shared" si="30"/>
        <v>-3.1480943261276817</v>
      </c>
      <c r="AE10" s="437">
        <f t="shared" si="8"/>
        <v>9.9104978861973017</v>
      </c>
      <c r="AF10" s="435">
        <f t="shared" si="9"/>
        <v>1969</v>
      </c>
      <c r="AG10" s="795">
        <f>'Brd Link'!L13</f>
        <v>9522.4859080815004</v>
      </c>
      <c r="AH10" s="436">
        <f t="shared" si="10"/>
        <v>9.1614112184967418</v>
      </c>
      <c r="AI10" s="436">
        <f t="shared" si="11"/>
        <v>83.931455514397953</v>
      </c>
      <c r="AJ10" s="436">
        <f t="shared" si="12"/>
        <v>-3.3484900140363489</v>
      </c>
      <c r="AK10" s="437">
        <f t="shared" si="13"/>
        <v>11.212385374101148</v>
      </c>
      <c r="AL10" s="127"/>
      <c r="AM10" s="23">
        <v>1963</v>
      </c>
      <c r="AN10" s="442">
        <f t="shared" si="14"/>
        <v>627800.64183442062</v>
      </c>
      <c r="AO10" s="436">
        <f t="shared" si="15"/>
        <v>13.34997794574439</v>
      </c>
      <c r="AP10" s="436">
        <f t="shared" si="16"/>
        <v>178.2219111518616</v>
      </c>
      <c r="AQ10" s="436">
        <f t="shared" si="17"/>
        <v>0.84007671321130006</v>
      </c>
      <c r="AR10" s="437">
        <f t="shared" si="18"/>
        <v>0.70572888407990086</v>
      </c>
      <c r="AS10" s="774">
        <f t="shared" si="31"/>
        <v>2.3165446795464177</v>
      </c>
      <c r="AT10" s="1117">
        <f t="shared" si="32"/>
        <v>356793.28878075763</v>
      </c>
    </row>
    <row r="11" spans="1:48">
      <c r="A11" s="405">
        <v>1964</v>
      </c>
      <c r="B11" s="129">
        <f>'Brd Link'!S14</f>
        <v>233990.19926972012</v>
      </c>
      <c r="C11" s="436">
        <f t="shared" si="19"/>
        <v>12.363034509999967</v>
      </c>
      <c r="D11" s="435">
        <f t="shared" si="0"/>
        <v>1967</v>
      </c>
      <c r="E11" s="129">
        <f>'Brd Link'!D14</f>
        <v>428.79690537223053</v>
      </c>
      <c r="F11" s="436">
        <f t="shared" si="20"/>
        <v>6.0609833927814609</v>
      </c>
      <c r="G11" s="436">
        <f t="shared" si="33"/>
        <v>36.735519687572669</v>
      </c>
      <c r="H11" s="436">
        <f t="shared" si="34"/>
        <v>-6.3020511172185065</v>
      </c>
      <c r="I11" s="436">
        <f t="shared" si="21"/>
        <v>39.715848284035026</v>
      </c>
      <c r="J11" s="435">
        <f t="shared" si="1"/>
        <v>1968</v>
      </c>
      <c r="K11" s="795">
        <f>'Brd Link'!E14</f>
        <v>6361.0343934533639</v>
      </c>
      <c r="L11" s="436">
        <f t="shared" si="22"/>
        <v>8.7579462835897282</v>
      </c>
      <c r="M11" s="436">
        <f t="shared" si="23"/>
        <v>76.701623106243133</v>
      </c>
      <c r="N11" s="436">
        <f t="shared" si="24"/>
        <v>-3.6050882264102397</v>
      </c>
      <c r="O11" s="436">
        <f t="shared" si="25"/>
        <v>12.996661120201727</v>
      </c>
      <c r="P11" s="129">
        <f>'Brd Link'!F14</f>
        <v>290718.45227450889</v>
      </c>
      <c r="Q11" s="436">
        <f t="shared" si="2"/>
        <v>12.580110559849002</v>
      </c>
      <c r="R11" s="436">
        <f t="shared" si="3"/>
        <v>158.25918169802438</v>
      </c>
      <c r="S11" s="436">
        <f t="shared" si="35"/>
        <v>0.21707604984903545</v>
      </c>
      <c r="T11" s="436">
        <f t="shared" si="4"/>
        <v>4.7122011418060925E-2</v>
      </c>
      <c r="U11" s="435">
        <f t="shared" si="5"/>
        <v>1969</v>
      </c>
      <c r="V11" s="129">
        <f>'Brd Link'!I14</f>
        <v>836133.8820333922</v>
      </c>
      <c r="W11" s="436">
        <f t="shared" si="26"/>
        <v>13.636544025217798</v>
      </c>
      <c r="X11" s="436">
        <f t="shared" si="27"/>
        <v>185.95533295170324</v>
      </c>
      <c r="Y11" s="436">
        <f t="shared" si="28"/>
        <v>1.2735095152178313</v>
      </c>
      <c r="Z11" s="437">
        <f t="shared" si="29"/>
        <v>1.6218264853503557</v>
      </c>
      <c r="AA11" s="796">
        <f>'Brd Link'!J14</f>
        <v>23028.814069610569</v>
      </c>
      <c r="AB11" s="436">
        <f t="shared" si="6"/>
        <v>10.044501496465394</v>
      </c>
      <c r="AC11" s="436">
        <f t="shared" si="7"/>
        <v>100.89201031249553</v>
      </c>
      <c r="AD11" s="436">
        <f t="shared" si="30"/>
        <v>-2.3185330135345734</v>
      </c>
      <c r="AE11" s="437">
        <f t="shared" si="8"/>
        <v>5.3755953348497103</v>
      </c>
      <c r="AF11" s="435">
        <f t="shared" si="9"/>
        <v>1970</v>
      </c>
      <c r="AG11" s="795">
        <f>'Brd Link'!L14</f>
        <v>24854.351915700765</v>
      </c>
      <c r="AH11" s="436">
        <f t="shared" si="10"/>
        <v>10.120788143584148</v>
      </c>
      <c r="AI11" s="436">
        <f t="shared" si="11"/>
        <v>102.43035264731347</v>
      </c>
      <c r="AJ11" s="436">
        <f t="shared" si="12"/>
        <v>-2.2422463664158192</v>
      </c>
      <c r="AK11" s="437">
        <f t="shared" si="13"/>
        <v>5.0276687677049443</v>
      </c>
      <c r="AL11" s="127"/>
      <c r="AM11" s="23">
        <v>1964</v>
      </c>
      <c r="AN11" s="442">
        <f t="shared" si="14"/>
        <v>1181525.331592038</v>
      </c>
      <c r="AO11" s="436">
        <f t="shared" si="15"/>
        <v>13.982316815575654</v>
      </c>
      <c r="AP11" s="436">
        <f t="shared" si="16"/>
        <v>195.50518353112969</v>
      </c>
      <c r="AQ11" s="436">
        <f t="shared" si="17"/>
        <v>1.6192823055756873</v>
      </c>
      <c r="AR11" s="437">
        <f t="shared" si="18"/>
        <v>2.6220751851505137</v>
      </c>
      <c r="AS11" s="774">
        <f t="shared" si="31"/>
        <v>5.0494650428930816</v>
      </c>
      <c r="AT11" s="1117">
        <f t="shared" si="32"/>
        <v>947535.13232231792</v>
      </c>
    </row>
    <row r="12" spans="1:48">
      <c r="A12" s="405">
        <v>1965</v>
      </c>
      <c r="B12" s="129">
        <f>'Brd Link'!S15</f>
        <v>373563.22002911044</v>
      </c>
      <c r="C12" s="436">
        <f t="shared" si="19"/>
        <v>12.830842533031001</v>
      </c>
      <c r="D12" s="435">
        <f t="shared" si="0"/>
        <v>1968</v>
      </c>
      <c r="E12" s="129">
        <f>'Brd Link'!D15</f>
        <v>1603.3269485384492</v>
      </c>
      <c r="F12" s="436">
        <f t="shared" si="20"/>
        <v>7.3798360922232167</v>
      </c>
      <c r="G12" s="436">
        <f t="shared" si="33"/>
        <v>54.461980748080435</v>
      </c>
      <c r="H12" s="436">
        <f t="shared" si="34"/>
        <v>-5.4510064408077845</v>
      </c>
      <c r="I12" s="436">
        <f t="shared" si="21"/>
        <v>29.71347121772795</v>
      </c>
      <c r="J12" s="435">
        <f t="shared" si="1"/>
        <v>1969</v>
      </c>
      <c r="K12" s="795">
        <f>'Brd Link'!E15</f>
        <v>379.22291204008309</v>
      </c>
      <c r="L12" s="436">
        <f t="shared" si="22"/>
        <v>5.9381241906021609</v>
      </c>
      <c r="M12" s="436">
        <f t="shared" si="23"/>
        <v>35.261318903014569</v>
      </c>
      <c r="N12" s="436">
        <f t="shared" si="24"/>
        <v>-6.8927183424288394</v>
      </c>
      <c r="O12" s="436">
        <f t="shared" si="25"/>
        <v>47.509566148054965</v>
      </c>
      <c r="P12" s="129">
        <f>'Brd Link'!F15</f>
        <v>386377.08528941998</v>
      </c>
      <c r="Q12" s="436">
        <f t="shared" si="2"/>
        <v>12.864569076480791</v>
      </c>
      <c r="R12" s="436">
        <f t="shared" si="3"/>
        <v>165.49713752354583</v>
      </c>
      <c r="S12" s="436">
        <f t="shared" si="35"/>
        <v>3.3726543449790529E-2</v>
      </c>
      <c r="T12" s="436">
        <f t="shared" si="4"/>
        <v>1.1374797330706084E-3</v>
      </c>
      <c r="U12" s="435">
        <f t="shared" si="5"/>
        <v>1970</v>
      </c>
      <c r="V12" s="129">
        <f>'Brd Link'!I15</f>
        <v>1126848.439217363</v>
      </c>
      <c r="W12" s="436">
        <f t="shared" si="26"/>
        <v>13.934935302361204</v>
      </c>
      <c r="X12" s="436">
        <f t="shared" si="27"/>
        <v>194.18242188099254</v>
      </c>
      <c r="Y12" s="436">
        <f t="shared" si="28"/>
        <v>1.1040927693302023</v>
      </c>
      <c r="Z12" s="437">
        <f t="shared" si="29"/>
        <v>1.2190208432872354</v>
      </c>
      <c r="AA12" s="796">
        <f>'Brd Link'!J15</f>
        <v>25570.264338042718</v>
      </c>
      <c r="AB12" s="436">
        <f t="shared" si="6"/>
        <v>10.149185406051224</v>
      </c>
      <c r="AC12" s="436">
        <f t="shared" si="7"/>
        <v>103.00596440640315</v>
      </c>
      <c r="AD12" s="436">
        <f t="shared" si="30"/>
        <v>-2.6816571269797778</v>
      </c>
      <c r="AE12" s="437">
        <f t="shared" si="8"/>
        <v>7.1912849466814359</v>
      </c>
      <c r="AF12" s="435">
        <f t="shared" si="9"/>
        <v>1971</v>
      </c>
      <c r="AG12" s="795">
        <f>'Brd Link'!L15</f>
        <v>242501.46167938894</v>
      </c>
      <c r="AH12" s="436">
        <f t="shared" si="10"/>
        <v>12.398763016885381</v>
      </c>
      <c r="AI12" s="436">
        <f t="shared" si="11"/>
        <v>153.72932434888466</v>
      </c>
      <c r="AJ12" s="436">
        <f t="shared" si="12"/>
        <v>-0.43207951614561951</v>
      </c>
      <c r="AK12" s="437">
        <f t="shared" si="13"/>
        <v>0.18669270827263268</v>
      </c>
      <c r="AL12" s="127"/>
      <c r="AM12" s="23">
        <v>1965</v>
      </c>
      <c r="AN12" s="442">
        <f t="shared" si="14"/>
        <v>1783279.800384793</v>
      </c>
      <c r="AO12" s="436">
        <f t="shared" si="15"/>
        <v>14.3939648112777</v>
      </c>
      <c r="AP12" s="436">
        <f t="shared" si="16"/>
        <v>207.18622298830067</v>
      </c>
      <c r="AQ12" s="436">
        <f t="shared" si="17"/>
        <v>1.5631222782466982</v>
      </c>
      <c r="AR12" s="437">
        <f t="shared" si="18"/>
        <v>2.4433512567511482</v>
      </c>
      <c r="AS12" s="774">
        <f t="shared" si="31"/>
        <v>4.77370282932519</v>
      </c>
      <c r="AT12" s="1117">
        <f t="shared" si="32"/>
        <v>1409716.5803556824</v>
      </c>
    </row>
    <row r="13" spans="1:48">
      <c r="A13" s="405">
        <v>1966</v>
      </c>
      <c r="B13" s="129">
        <f>'Brd Link'!S16</f>
        <v>374673.10456808144</v>
      </c>
      <c r="C13" s="436">
        <f t="shared" si="19"/>
        <v>12.833809203630931</v>
      </c>
      <c r="D13" s="435">
        <f t="shared" si="0"/>
        <v>1969</v>
      </c>
      <c r="E13" s="129">
        <f>'Brd Link'!D16</f>
        <v>66.92879366570692</v>
      </c>
      <c r="F13" s="436">
        <f t="shared" si="20"/>
        <v>4.2036292731298142</v>
      </c>
      <c r="G13" s="436">
        <f t="shared" si="33"/>
        <v>17.670499065913891</v>
      </c>
      <c r="H13" s="436">
        <f t="shared" si="34"/>
        <v>-8.630179930501118</v>
      </c>
      <c r="I13" s="436">
        <f t="shared" si="21"/>
        <v>74.480005632824287</v>
      </c>
      <c r="J13" s="435">
        <f t="shared" si="1"/>
        <v>1970</v>
      </c>
      <c r="K13" s="795">
        <f>'Brd Link'!E16</f>
        <v>4184.0350749933223</v>
      </c>
      <c r="L13" s="436">
        <f t="shared" si="22"/>
        <v>8.3390313888342202</v>
      </c>
      <c r="M13" s="436">
        <f t="shared" si="23"/>
        <v>69.539444503962386</v>
      </c>
      <c r="N13" s="436">
        <f t="shared" si="24"/>
        <v>-4.494777814796711</v>
      </c>
      <c r="O13" s="436">
        <f t="shared" si="25"/>
        <v>20.203027604388698</v>
      </c>
      <c r="P13" s="129">
        <f>'Brd Link'!F16</f>
        <v>302159.62071066484</v>
      </c>
      <c r="Q13" s="436">
        <f t="shared" si="2"/>
        <v>12.618710702125638</v>
      </c>
      <c r="R13" s="436">
        <f t="shared" si="3"/>
        <v>159.23185978394011</v>
      </c>
      <c r="S13" s="436">
        <f t="shared" si="35"/>
        <v>-0.21509850150529286</v>
      </c>
      <c r="T13" s="436">
        <f t="shared" si="4"/>
        <v>4.6267365349822474E-2</v>
      </c>
      <c r="U13" s="435">
        <f t="shared" si="5"/>
        <v>1971</v>
      </c>
      <c r="V13" s="129">
        <f>'Brd Link'!I16</f>
        <v>886578.61449924554</v>
      </c>
      <c r="W13" s="436">
        <f t="shared" si="26"/>
        <v>13.695125080202772</v>
      </c>
      <c r="X13" s="436">
        <f t="shared" si="27"/>
        <v>187.55645096239897</v>
      </c>
      <c r="Y13" s="436">
        <f t="shared" si="28"/>
        <v>0.86131587657184083</v>
      </c>
      <c r="Z13" s="437">
        <f t="shared" si="29"/>
        <v>0.74186503923471858</v>
      </c>
      <c r="AA13" s="796">
        <f>'Brd Link'!J16</f>
        <v>14517.766092942984</v>
      </c>
      <c r="AB13" s="436">
        <f t="shared" si="6"/>
        <v>9.5831284261943281</v>
      </c>
      <c r="AC13" s="436">
        <f t="shared" si="7"/>
        <v>91.836350432933784</v>
      </c>
      <c r="AD13" s="436">
        <f t="shared" si="30"/>
        <v>-3.2506807774366022</v>
      </c>
      <c r="AE13" s="437">
        <f t="shared" si="8"/>
        <v>10.566925516795832</v>
      </c>
      <c r="AF13" s="435">
        <f t="shared" si="9"/>
        <v>1972</v>
      </c>
      <c r="AG13" s="795">
        <f>'Brd Link'!L16</f>
        <v>280325.15607490181</v>
      </c>
      <c r="AH13" s="436">
        <f t="shared" si="10"/>
        <v>12.543705480093045</v>
      </c>
      <c r="AI13" s="436">
        <f t="shared" si="11"/>
        <v>157.34454717131629</v>
      </c>
      <c r="AJ13" s="436">
        <f t="shared" si="12"/>
        <v>-0.29010372353788505</v>
      </c>
      <c r="AK13" s="437">
        <f t="shared" si="13"/>
        <v>8.4160170410545646E-2</v>
      </c>
      <c r="AL13" s="127"/>
      <c r="AM13" s="23">
        <v>1966</v>
      </c>
      <c r="AN13" s="442">
        <f t="shared" si="14"/>
        <v>1487832.1212464143</v>
      </c>
      <c r="AO13" s="436">
        <f t="shared" si="15"/>
        <v>14.212830666267321</v>
      </c>
      <c r="AP13" s="436">
        <f t="shared" si="16"/>
        <v>202.00455554798876</v>
      </c>
      <c r="AQ13" s="436">
        <f t="shared" si="17"/>
        <v>1.3790214626363904</v>
      </c>
      <c r="AR13" s="437">
        <f t="shared" si="18"/>
        <v>1.9017001944118095</v>
      </c>
      <c r="AS13" s="774">
        <f t="shared" si="31"/>
        <v>3.9710139401694415</v>
      </c>
      <c r="AT13" s="1117">
        <f t="shared" si="32"/>
        <v>1113159.0166783328</v>
      </c>
    </row>
    <row r="14" spans="1:48">
      <c r="A14" s="405">
        <v>1967</v>
      </c>
      <c r="B14" s="129">
        <f>'Brd Link'!S17</f>
        <v>152518.20574374442</v>
      </c>
      <c r="C14" s="436">
        <f t="shared" si="19"/>
        <v>11.935039249830341</v>
      </c>
      <c r="D14" s="435">
        <f t="shared" si="0"/>
        <v>1970</v>
      </c>
      <c r="E14" s="129">
        <f>'Brd Link'!D17</f>
        <v>1688.7086939265012</v>
      </c>
      <c r="F14" s="436">
        <f t="shared" si="20"/>
        <v>7.4317194294202729</v>
      </c>
      <c r="G14" s="436">
        <f t="shared" si="33"/>
        <v>55.230453677622783</v>
      </c>
      <c r="H14" s="436">
        <f t="shared" si="34"/>
        <v>-4.5033198204100682</v>
      </c>
      <c r="I14" s="436">
        <f t="shared" si="21"/>
        <v>20.279889404898167</v>
      </c>
      <c r="J14" s="435">
        <f t="shared" si="1"/>
        <v>1971</v>
      </c>
      <c r="K14" s="795">
        <f>'Brd Link'!E17</f>
        <v>2323.2100230410065</v>
      </c>
      <c r="L14" s="436">
        <f t="shared" si="22"/>
        <v>7.7507051389466728</v>
      </c>
      <c r="M14" s="436">
        <f t="shared" si="23"/>
        <v>60.07343015089436</v>
      </c>
      <c r="N14" s="436">
        <f t="shared" si="24"/>
        <v>-4.1843341108836691</v>
      </c>
      <c r="O14" s="436">
        <f t="shared" si="25"/>
        <v>17.508651951504625</v>
      </c>
      <c r="P14" s="129">
        <f>'Brd Link'!F17</f>
        <v>97321.711125474932</v>
      </c>
      <c r="Q14" s="436">
        <f t="shared" si="2"/>
        <v>11.485777379207695</v>
      </c>
      <c r="R14" s="436">
        <f t="shared" si="3"/>
        <v>131.92308200471919</v>
      </c>
      <c r="S14" s="436">
        <f t="shared" si="35"/>
        <v>-0.44926187062264583</v>
      </c>
      <c r="T14" s="436">
        <f t="shared" si="4"/>
        <v>0.20183622839535897</v>
      </c>
      <c r="U14" s="435">
        <f t="shared" si="5"/>
        <v>1972</v>
      </c>
      <c r="V14" s="129">
        <f>'Brd Link'!I17</f>
        <v>707854.19432154007</v>
      </c>
      <c r="W14" s="436">
        <f t="shared" si="26"/>
        <v>13.469993411243443</v>
      </c>
      <c r="X14" s="436">
        <f t="shared" si="27"/>
        <v>181.44072249894177</v>
      </c>
      <c r="Y14" s="436">
        <f t="shared" si="28"/>
        <v>1.5349541614131024</v>
      </c>
      <c r="Z14" s="437">
        <f t="shared" si="29"/>
        <v>2.3560842776394004</v>
      </c>
      <c r="AA14" s="796">
        <f>'Brd Link'!J17</f>
        <v>8920.9067780155819</v>
      </c>
      <c r="AB14" s="436">
        <f t="shared" si="6"/>
        <v>9.0961528771355642</v>
      </c>
      <c r="AC14" s="436">
        <f t="shared" si="7"/>
        <v>82.739997164221606</v>
      </c>
      <c r="AD14" s="436">
        <f t="shared" si="30"/>
        <v>-2.8388863726947768</v>
      </c>
      <c r="AE14" s="437">
        <f t="shared" si="8"/>
        <v>8.0592758370721072</v>
      </c>
      <c r="AF14" s="435">
        <f t="shared" si="9"/>
        <v>1973</v>
      </c>
      <c r="AG14" s="795">
        <f>'Brd Link'!L17</f>
        <v>51477.233762799864</v>
      </c>
      <c r="AH14" s="436">
        <f t="shared" si="10"/>
        <v>10.848894926054982</v>
      </c>
      <c r="AI14" s="436">
        <f t="shared" si="11"/>
        <v>117.69852111658153</v>
      </c>
      <c r="AJ14" s="436">
        <f t="shared" si="12"/>
        <v>-1.0861443237753594</v>
      </c>
      <c r="AK14" s="437">
        <f t="shared" si="13"/>
        <v>1.1797094920694329</v>
      </c>
      <c r="AL14" s="127"/>
      <c r="AM14" s="23">
        <v>1967</v>
      </c>
      <c r="AN14" s="442">
        <f t="shared" si="14"/>
        <v>869585.96470479784</v>
      </c>
      <c r="AO14" s="436">
        <f t="shared" si="15"/>
        <v>13.675772474715002</v>
      </c>
      <c r="AP14" s="436">
        <f t="shared" si="16"/>
        <v>187.02675278017247</v>
      </c>
      <c r="AQ14" s="436">
        <f t="shared" si="17"/>
        <v>1.7407332248846605</v>
      </c>
      <c r="AR14" s="437">
        <f t="shared" si="18"/>
        <v>3.0301521602173502</v>
      </c>
      <c r="AS14" s="774">
        <f t="shared" si="31"/>
        <v>5.7015223885196029</v>
      </c>
      <c r="AT14" s="1117">
        <f t="shared" si="32"/>
        <v>717067.75896105345</v>
      </c>
    </row>
    <row r="15" spans="1:48">
      <c r="A15" s="405">
        <v>1968</v>
      </c>
      <c r="B15" s="129">
        <f>'Brd Link'!S18</f>
        <v>234701.76831870052</v>
      </c>
      <c r="C15" s="436">
        <f t="shared" si="19"/>
        <v>12.366070916189516</v>
      </c>
      <c r="D15" s="435">
        <f t="shared" si="0"/>
        <v>1971</v>
      </c>
      <c r="E15" s="129">
        <f>'Brd Link'!D18</f>
        <v>2130.1268164769431</v>
      </c>
      <c r="F15" s="436">
        <f t="shared" si="20"/>
        <v>7.6639367951832256</v>
      </c>
      <c r="G15" s="436">
        <f t="shared" si="33"/>
        <v>58.735927200563331</v>
      </c>
      <c r="H15" s="436">
        <f t="shared" si="34"/>
        <v>-4.7021341210062895</v>
      </c>
      <c r="I15" s="436">
        <f t="shared" si="21"/>
        <v>22.110065291931591</v>
      </c>
      <c r="J15" s="435">
        <f t="shared" si="1"/>
        <v>1972</v>
      </c>
      <c r="K15" s="795">
        <f>'Brd Link'!E18</f>
        <v>17573.119769802408</v>
      </c>
      <c r="L15" s="436">
        <f t="shared" si="22"/>
        <v>9.7741257277297162</v>
      </c>
      <c r="M15" s="436">
        <f t="shared" si="23"/>
        <v>95.533533741467949</v>
      </c>
      <c r="N15" s="436">
        <f t="shared" si="24"/>
        <v>-2.5919451884597997</v>
      </c>
      <c r="O15" s="436">
        <f t="shared" si="25"/>
        <v>6.718179859979907</v>
      </c>
      <c r="P15" s="129">
        <f>'Brd Link'!F18</f>
        <v>145881.52486171451</v>
      </c>
      <c r="Q15" s="436">
        <f t="shared" si="2"/>
        <v>11.890550097717687</v>
      </c>
      <c r="R15" s="436">
        <f t="shared" si="3"/>
        <v>141.38518162633412</v>
      </c>
      <c r="S15" s="436">
        <f t="shared" si="35"/>
        <v>-0.47552081847182748</v>
      </c>
      <c r="T15" s="436">
        <f t="shared" si="4"/>
        <v>0.22612004880011671</v>
      </c>
      <c r="U15" s="435">
        <f t="shared" si="5"/>
        <v>1973</v>
      </c>
      <c r="V15" s="129">
        <f>'Brd Link'!I18</f>
        <v>592986.4878251045</v>
      </c>
      <c r="W15" s="436">
        <f t="shared" si="26"/>
        <v>13.292926891590582</v>
      </c>
      <c r="X15" s="436">
        <f t="shared" si="27"/>
        <v>176.70190534517207</v>
      </c>
      <c r="Y15" s="436">
        <f t="shared" si="28"/>
        <v>0.92685597540106757</v>
      </c>
      <c r="Z15" s="437">
        <f t="shared" si="29"/>
        <v>0.85906199913666437</v>
      </c>
      <c r="AA15" s="796">
        <f>'Brd Link'!J18</f>
        <v>14396.979946877575</v>
      </c>
      <c r="AB15" s="436">
        <f t="shared" si="6"/>
        <v>9.5747737376572584</v>
      </c>
      <c r="AC15" s="436">
        <f t="shared" si="7"/>
        <v>91.676292127331152</v>
      </c>
      <c r="AD15" s="436">
        <f t="shared" si="30"/>
        <v>-2.7912971785322571</v>
      </c>
      <c r="AE15" s="437">
        <f t="shared" si="8"/>
        <v>7.7913399388821389</v>
      </c>
      <c r="AF15" s="435">
        <f t="shared" si="9"/>
        <v>1974</v>
      </c>
      <c r="AG15" s="795">
        <f>'Brd Link'!L18</f>
        <v>66910.348679015195</v>
      </c>
      <c r="AH15" s="436">
        <f t="shared" si="10"/>
        <v>11.111108922927762</v>
      </c>
      <c r="AI15" s="436">
        <f t="shared" si="11"/>
        <v>123.45674149716494</v>
      </c>
      <c r="AJ15" s="436">
        <f t="shared" si="12"/>
        <v>-1.2549619932617531</v>
      </c>
      <c r="AK15" s="437">
        <f t="shared" si="13"/>
        <v>1.5749296045315124</v>
      </c>
      <c r="AL15" s="127"/>
      <c r="AM15" s="23">
        <v>1968</v>
      </c>
      <c r="AN15" s="442">
        <f>AG15+AA15+V15+P15+K15+E15</f>
        <v>839878.58789899119</v>
      </c>
      <c r="AO15" s="436">
        <f t="shared" si="15"/>
        <v>13.641012622157355</v>
      </c>
      <c r="AP15" s="436">
        <f t="shared" si="16"/>
        <v>186.07722535785626</v>
      </c>
      <c r="AQ15" s="436">
        <f t="shared" si="17"/>
        <v>1.2749417059678398</v>
      </c>
      <c r="AR15" s="437">
        <f t="shared" si="18"/>
        <v>1.6254763536161858</v>
      </c>
      <c r="AS15" s="774">
        <f t="shared" si="31"/>
        <v>3.5784927992469306</v>
      </c>
      <c r="AT15" s="1117">
        <f t="shared" si="32"/>
        <v>605176.8195802907</v>
      </c>
    </row>
    <row r="16" spans="1:48">
      <c r="A16" s="405">
        <v>1969</v>
      </c>
      <c r="B16" s="129">
        <f>'Brd Link'!S19</f>
        <v>527822.37255732983</v>
      </c>
      <c r="C16" s="436">
        <f t="shared" si="19"/>
        <v>13.176515090476855</v>
      </c>
      <c r="D16" s="435">
        <f t="shared" si="0"/>
        <v>1972</v>
      </c>
      <c r="E16" s="129">
        <f>'Brd Link'!D19</f>
        <v>2003.6619467271901</v>
      </c>
      <c r="F16" s="436">
        <f t="shared" si="20"/>
        <v>7.6027317587172334</v>
      </c>
      <c r="G16" s="436">
        <f t="shared" si="33"/>
        <v>57.801530195007636</v>
      </c>
      <c r="H16" s="436">
        <f t="shared" si="34"/>
        <v>-5.5737833317596213</v>
      </c>
      <c r="I16" s="436">
        <f t="shared" si="21"/>
        <v>31.067060629401386</v>
      </c>
      <c r="J16" s="435">
        <f t="shared" si="1"/>
        <v>1973</v>
      </c>
      <c r="K16" s="795">
        <f>'Brd Link'!E19</f>
        <v>25478.999999999985</v>
      </c>
      <c r="L16" s="436">
        <f t="shared" si="22"/>
        <v>10.145609862448119</v>
      </c>
      <c r="M16" s="436">
        <f t="shared" si="23"/>
        <v>102.93339948100453</v>
      </c>
      <c r="N16" s="436">
        <f t="shared" si="24"/>
        <v>-3.0309052280287361</v>
      </c>
      <c r="O16" s="436">
        <f t="shared" si="25"/>
        <v>9.1863865012919241</v>
      </c>
      <c r="P16" s="129">
        <f>'Brd Link'!F19</f>
        <v>101514.29846521815</v>
      </c>
      <c r="Q16" s="436">
        <f t="shared" si="2"/>
        <v>11.527954939121013</v>
      </c>
      <c r="R16" s="436">
        <f t="shared" si="3"/>
        <v>132.89374507840455</v>
      </c>
      <c r="S16" s="436">
        <f t="shared" si="35"/>
        <v>-1.6485601513558406</v>
      </c>
      <c r="T16" s="436">
        <f t="shared" si="4"/>
        <v>2.7177505726383919</v>
      </c>
      <c r="U16" s="435">
        <f t="shared" si="5"/>
        <v>1974</v>
      </c>
      <c r="V16" s="129">
        <f>'Brd Link'!I19</f>
        <v>638486.34876982134</v>
      </c>
      <c r="W16" s="436">
        <f t="shared" si="26"/>
        <v>13.366855574069275</v>
      </c>
      <c r="X16" s="436">
        <f t="shared" si="27"/>
        <v>178.67282793802684</v>
      </c>
      <c r="Y16" s="436">
        <f t="shared" si="28"/>
        <v>0.19034048359242081</v>
      </c>
      <c r="Z16" s="437">
        <f t="shared" si="29"/>
        <v>3.6229499694196615E-2</v>
      </c>
      <c r="AA16" s="796">
        <f>'Brd Link'!J19</f>
        <v>43304.50790418018</v>
      </c>
      <c r="AB16" s="436">
        <f t="shared" si="6"/>
        <v>10.676012017213226</v>
      </c>
      <c r="AC16" s="436">
        <f t="shared" si="7"/>
        <v>113.97723259168123</v>
      </c>
      <c r="AD16" s="436">
        <f t="shared" si="30"/>
        <v>-2.5005030732636273</v>
      </c>
      <c r="AE16" s="437">
        <f t="shared" si="8"/>
        <v>6.2525156194008451</v>
      </c>
      <c r="AF16" s="435">
        <f t="shared" si="9"/>
        <v>1975</v>
      </c>
      <c r="AG16" s="795">
        <f>'Brd Link'!L19</f>
        <v>107192.1125768756</v>
      </c>
      <c r="AH16" s="436">
        <f t="shared" si="10"/>
        <v>11.582377948203689</v>
      </c>
      <c r="AI16" s="436">
        <f t="shared" si="11"/>
        <v>134.1514789350351</v>
      </c>
      <c r="AJ16" s="436">
        <f t="shared" si="12"/>
        <v>-1.5941371422731645</v>
      </c>
      <c r="AK16" s="437">
        <f t="shared" si="13"/>
        <v>2.5412732283748514</v>
      </c>
      <c r="AL16" s="127"/>
      <c r="AM16" s="23">
        <v>1969</v>
      </c>
      <c r="AN16" s="442">
        <f t="shared" si="14"/>
        <v>917979.92966282251</v>
      </c>
      <c r="AO16" s="436">
        <f t="shared" si="15"/>
        <v>13.729930806251232</v>
      </c>
      <c r="AP16" s="436">
        <f t="shared" si="16"/>
        <v>188.51099994444661</v>
      </c>
      <c r="AQ16" s="436">
        <f t="shared" si="17"/>
        <v>0.55341571577437798</v>
      </c>
      <c r="AR16" s="437">
        <f t="shared" si="18"/>
        <v>0.30626895446606711</v>
      </c>
      <c r="AS16" s="774">
        <f t="shared" si="31"/>
        <v>1.7391834400939787</v>
      </c>
      <c r="AT16" s="1117">
        <f t="shared" si="32"/>
        <v>390157.55710549268</v>
      </c>
    </row>
    <row r="17" spans="1:46">
      <c r="A17" s="405">
        <v>1970</v>
      </c>
      <c r="B17" s="129">
        <f>'Brd Link'!S20</f>
        <v>329729.48946597357</v>
      </c>
      <c r="C17" s="436">
        <f t="shared" si="19"/>
        <v>12.706027868390226</v>
      </c>
      <c r="D17" s="435">
        <f t="shared" si="0"/>
        <v>1973</v>
      </c>
      <c r="E17" s="129">
        <f>'Brd Link'!D20</f>
        <v>24205.142110078956</v>
      </c>
      <c r="F17" s="436">
        <f t="shared" si="20"/>
        <v>10.094320373460834</v>
      </c>
      <c r="G17" s="436">
        <f t="shared" si="33"/>
        <v>101.89530380206646</v>
      </c>
      <c r="H17" s="436">
        <f t="shared" si="34"/>
        <v>-2.6117074949293926</v>
      </c>
      <c r="I17" s="436">
        <f t="shared" si="21"/>
        <v>6.8210160390703631</v>
      </c>
      <c r="J17" s="435">
        <f t="shared" si="1"/>
        <v>1974</v>
      </c>
      <c r="K17" s="795">
        <f>'Brd Link'!E20</f>
        <v>7081.0682034509573</v>
      </c>
      <c r="L17" s="436">
        <f t="shared" si="22"/>
        <v>8.8651800515007348</v>
      </c>
      <c r="M17" s="436">
        <f t="shared" si="23"/>
        <v>78.591417345526565</v>
      </c>
      <c r="N17" s="436">
        <f t="shared" si="24"/>
        <v>-3.8408478168894913</v>
      </c>
      <c r="O17" s="436">
        <f t="shared" si="25"/>
        <v>14.752111952504771</v>
      </c>
      <c r="P17" s="129">
        <f>'Brd Link'!F20</f>
        <v>83934.462420078504</v>
      </c>
      <c r="Q17" s="436">
        <f t="shared" si="2"/>
        <v>11.337791564019003</v>
      </c>
      <c r="R17" s="436">
        <f t="shared" si="3"/>
        <v>128.54551754914047</v>
      </c>
      <c r="S17" s="436">
        <f t="shared" si="35"/>
        <v>-1.3682363043712236</v>
      </c>
      <c r="T17" s="436">
        <f t="shared" si="4"/>
        <v>1.8720705845994234</v>
      </c>
      <c r="U17" s="435">
        <f t="shared" si="5"/>
        <v>1975</v>
      </c>
      <c r="V17" s="129">
        <f>'Brd Link'!I20</f>
        <v>346614.00262167363</v>
      </c>
      <c r="W17" s="436">
        <f t="shared" si="26"/>
        <v>12.755967055394713</v>
      </c>
      <c r="X17" s="436">
        <f t="shared" si="27"/>
        <v>162.71469551831527</v>
      </c>
      <c r="Y17" s="436">
        <f t="shared" si="28"/>
        <v>4.9939187004485797E-2</v>
      </c>
      <c r="Z17" s="437">
        <f t="shared" si="29"/>
        <v>2.4939223986690032E-3</v>
      </c>
      <c r="AA17" s="796">
        <f>'Brd Link'!J20</f>
        <v>15225.522652573043</v>
      </c>
      <c r="AB17" s="436">
        <f t="shared" si="6"/>
        <v>9.6307284205651111</v>
      </c>
      <c r="AC17" s="436">
        <f t="shared" si="7"/>
        <v>92.750929910680554</v>
      </c>
      <c r="AD17" s="436">
        <f t="shared" si="30"/>
        <v>-3.0752994478251146</v>
      </c>
      <c r="AE17" s="437">
        <f t="shared" si="8"/>
        <v>9.4574666937934548</v>
      </c>
      <c r="AF17" s="435">
        <f t="shared" si="9"/>
        <v>1976</v>
      </c>
      <c r="AG17" s="795">
        <f>'Brd Link'!L20</f>
        <v>27802.081981397347</v>
      </c>
      <c r="AH17" s="436">
        <f t="shared" si="10"/>
        <v>10.232866188291677</v>
      </c>
      <c r="AI17" s="436">
        <f t="shared" si="11"/>
        <v>104.71155042748303</v>
      </c>
      <c r="AJ17" s="436">
        <f t="shared" si="12"/>
        <v>-2.4731616800985496</v>
      </c>
      <c r="AK17" s="437">
        <f t="shared" si="13"/>
        <v>6.1165286959078804</v>
      </c>
      <c r="AL17" s="127"/>
      <c r="AM17" s="23">
        <v>1970</v>
      </c>
      <c r="AN17" s="442">
        <f t="shared" si="14"/>
        <v>504862.27998925245</v>
      </c>
      <c r="AO17" s="436">
        <f t="shared" si="15"/>
        <v>13.132040958172004</v>
      </c>
      <c r="AP17" s="436">
        <f t="shared" si="16"/>
        <v>172.45049972710709</v>
      </c>
      <c r="AQ17" s="436">
        <f t="shared" si="17"/>
        <v>0.4260130897817781</v>
      </c>
      <c r="AR17" s="437">
        <f t="shared" si="18"/>
        <v>0.18148715266541732</v>
      </c>
      <c r="AS17" s="774">
        <f t="shared" si="31"/>
        <v>1.5311408173012433</v>
      </c>
      <c r="AT17" s="1117">
        <f t="shared" si="32"/>
        <v>175132.79052327888</v>
      </c>
    </row>
    <row r="18" spans="1:46">
      <c r="A18" s="405">
        <v>1971</v>
      </c>
      <c r="B18" s="129">
        <f>'Brd Link'!S21</f>
        <v>585402.09872581216</v>
      </c>
      <c r="C18" s="436">
        <f t="shared" si="19"/>
        <v>13.280054238347628</v>
      </c>
      <c r="D18" s="435">
        <f t="shared" si="0"/>
        <v>1974</v>
      </c>
      <c r="E18" s="129">
        <f>'Brd Link'!D21</f>
        <v>1316.9891180949446</v>
      </c>
      <c r="F18" s="436">
        <f t="shared" si="20"/>
        <v>7.183103439062938</v>
      </c>
      <c r="G18" s="436">
        <f t="shared" si="33"/>
        <v>51.59697501627781</v>
      </c>
      <c r="H18" s="436">
        <f t="shared" si="34"/>
        <v>-6.0969507992846887</v>
      </c>
      <c r="I18" s="436">
        <f t="shared" si="21"/>
        <v>37.172809048898202</v>
      </c>
      <c r="J18" s="435">
        <f t="shared" si="1"/>
        <v>1975</v>
      </c>
      <c r="K18" s="795">
        <f>'Brd Link'!E21</f>
        <v>3273.3156656187944</v>
      </c>
      <c r="L18" s="436">
        <f t="shared" si="22"/>
        <v>8.0935587151970356</v>
      </c>
      <c r="M18" s="436">
        <f t="shared" si="23"/>
        <v>65.505692676341894</v>
      </c>
      <c r="N18" s="436">
        <f t="shared" si="24"/>
        <v>-5.1864955231505911</v>
      </c>
      <c r="O18" s="436">
        <f t="shared" si="25"/>
        <v>26.899735811661124</v>
      </c>
      <c r="P18" s="129">
        <f>'Brd Link'!F21</f>
        <v>48348.917227885802</v>
      </c>
      <c r="Q18" s="436">
        <f t="shared" si="2"/>
        <v>10.786199106171235</v>
      </c>
      <c r="R18" s="436">
        <f t="shared" si="3"/>
        <v>116.34209115796915</v>
      </c>
      <c r="S18" s="436">
        <f t="shared" si="35"/>
        <v>-2.493855132176392</v>
      </c>
      <c r="T18" s="436">
        <f t="shared" si="4"/>
        <v>6.2193134202825293</v>
      </c>
      <c r="U18" s="435">
        <f t="shared" si="5"/>
        <v>1976</v>
      </c>
      <c r="V18" s="129">
        <f>'Brd Link'!I21</f>
        <v>940919.76351097296</v>
      </c>
      <c r="W18" s="436">
        <f t="shared" si="26"/>
        <v>13.754613147674856</v>
      </c>
      <c r="X18" s="436">
        <f t="shared" si="27"/>
        <v>189.18938284219001</v>
      </c>
      <c r="Y18" s="436">
        <f t="shared" si="28"/>
        <v>0.47455890932722866</v>
      </c>
      <c r="Z18" s="437">
        <f t="shared" si="29"/>
        <v>0.22520615842184882</v>
      </c>
      <c r="AA18" s="796">
        <f>'Brd Link'!J21</f>
        <v>9694.0864151689784</v>
      </c>
      <c r="AB18" s="436">
        <f t="shared" si="6"/>
        <v>9.1792713306598923</v>
      </c>
      <c r="AC18" s="436">
        <f t="shared" si="7"/>
        <v>84.259022161874626</v>
      </c>
      <c r="AD18" s="436">
        <f t="shared" si="30"/>
        <v>-4.1007829076877345</v>
      </c>
      <c r="AE18" s="437">
        <f t="shared" si="8"/>
        <v>16.81642045598387</v>
      </c>
      <c r="AF18" s="435">
        <f t="shared" si="9"/>
        <v>1977</v>
      </c>
      <c r="AG18" s="795">
        <f>'Brd Link'!L21</f>
        <v>84399.273431889495</v>
      </c>
      <c r="AH18" s="436">
        <f t="shared" si="10"/>
        <v>11.343314071920092</v>
      </c>
      <c r="AI18" s="436">
        <f t="shared" si="11"/>
        <v>128.67077413422038</v>
      </c>
      <c r="AJ18" s="436">
        <f t="shared" si="12"/>
        <v>-1.9367401664275343</v>
      </c>
      <c r="AK18" s="437">
        <f t="shared" si="13"/>
        <v>3.7509624722537533</v>
      </c>
      <c r="AL18" s="127"/>
      <c r="AM18" s="23">
        <v>1971</v>
      </c>
      <c r="AN18" s="442">
        <f t="shared" si="14"/>
        <v>1087952.345369631</v>
      </c>
      <c r="AO18" s="436">
        <f t="shared" si="15"/>
        <v>13.899807905227032</v>
      </c>
      <c r="AP18" s="436">
        <f t="shared" si="16"/>
        <v>193.20465980221189</v>
      </c>
      <c r="AQ18" s="436">
        <f t="shared" si="17"/>
        <v>0.61975366687940459</v>
      </c>
      <c r="AR18" s="437">
        <f t="shared" si="18"/>
        <v>0.38409460761046799</v>
      </c>
      <c r="AS18" s="774">
        <f t="shared" si="31"/>
        <v>1.8584701826960837</v>
      </c>
      <c r="AT18" s="1117">
        <f t="shared" si="32"/>
        <v>502550.2466438188</v>
      </c>
    </row>
    <row r="19" spans="1:46">
      <c r="A19" s="405">
        <v>1972</v>
      </c>
      <c r="B19" s="129">
        <f>'Brd Link'!S22</f>
        <v>408348.74565424217</v>
      </c>
      <c r="C19" s="436">
        <f t="shared" si="19"/>
        <v>12.919876857039919</v>
      </c>
      <c r="D19" s="435">
        <f t="shared" si="0"/>
        <v>1975</v>
      </c>
      <c r="E19" s="129">
        <f>'Brd Link'!D22</f>
        <v>1050.2407834862013</v>
      </c>
      <c r="F19" s="436">
        <f t="shared" si="20"/>
        <v>6.9567747344682118</v>
      </c>
      <c r="G19" s="436">
        <f t="shared" si="33"/>
        <v>48.396714706135256</v>
      </c>
      <c r="H19" s="436">
        <f t="shared" si="34"/>
        <v>-5.9631021225717076</v>
      </c>
      <c r="I19" s="436">
        <f t="shared" si="21"/>
        <v>35.558586924219206</v>
      </c>
      <c r="J19" s="435">
        <f t="shared" si="1"/>
        <v>1976</v>
      </c>
      <c r="K19" s="795">
        <f>'Brd Link'!E22</f>
        <v>12447.849019260784</v>
      </c>
      <c r="L19" s="436">
        <f t="shared" si="22"/>
        <v>9.4293031174291908</v>
      </c>
      <c r="M19" s="436">
        <f t="shared" si="23"/>
        <v>88.911757280359851</v>
      </c>
      <c r="N19" s="436">
        <f t="shared" si="24"/>
        <v>-3.4905737396107277</v>
      </c>
      <c r="O19" s="436">
        <f t="shared" si="25"/>
        <v>12.184105031660021</v>
      </c>
      <c r="P19" s="129">
        <f>'Brd Link'!F22</f>
        <v>140037.97254138521</v>
      </c>
      <c r="Q19" s="436">
        <f t="shared" si="2"/>
        <v>11.849668897253039</v>
      </c>
      <c r="R19" s="436">
        <f t="shared" si="3"/>
        <v>140.41465297452606</v>
      </c>
      <c r="S19" s="436">
        <f t="shared" si="35"/>
        <v>-1.0702079597868799</v>
      </c>
      <c r="T19" s="436">
        <f t="shared" si="4"/>
        <v>1.1453450771911959</v>
      </c>
      <c r="U19" s="435">
        <f t="shared" si="5"/>
        <v>1977</v>
      </c>
      <c r="V19" s="129">
        <f>'Brd Link'!I22</f>
        <v>846188.38728043251</v>
      </c>
      <c r="W19" s="436">
        <f t="shared" si="26"/>
        <v>13.648497293799361</v>
      </c>
      <c r="X19" s="436">
        <f t="shared" si="27"/>
        <v>186.28147837884848</v>
      </c>
      <c r="Y19" s="436">
        <f t="shared" si="28"/>
        <v>0.7286204367594411</v>
      </c>
      <c r="Z19" s="437">
        <f t="shared" si="29"/>
        <v>0.53088774086351875</v>
      </c>
      <c r="AA19" s="796">
        <f>'Brd Link'!J22</f>
        <v>7117.1684145828576</v>
      </c>
      <c r="AB19" s="436">
        <f t="shared" si="6"/>
        <v>8.8702652307234988</v>
      </c>
      <c r="AC19" s="436">
        <f t="shared" si="7"/>
        <v>78.68160526338221</v>
      </c>
      <c r="AD19" s="436">
        <f t="shared" si="30"/>
        <v>-4.0496116263164197</v>
      </c>
      <c r="AE19" s="437">
        <f t="shared" si="8"/>
        <v>16.399354323997116</v>
      </c>
      <c r="AF19" s="435">
        <f t="shared" si="9"/>
        <v>1978</v>
      </c>
      <c r="AG19" s="795">
        <f>'Brd Link'!L22</f>
        <v>33678.805424549719</v>
      </c>
      <c r="AH19" s="436">
        <f t="shared" si="10"/>
        <v>10.424623999335015</v>
      </c>
      <c r="AI19" s="436">
        <f t="shared" si="11"/>
        <v>108.67278552751156</v>
      </c>
      <c r="AJ19" s="436">
        <f t="shared" si="12"/>
        <v>-2.4952528577049038</v>
      </c>
      <c r="AK19" s="437">
        <f t="shared" si="13"/>
        <v>6.2262868238844886</v>
      </c>
      <c r="AL19" s="127"/>
      <c r="AM19" s="23">
        <v>1972</v>
      </c>
      <c r="AN19" s="442">
        <f t="shared" si="14"/>
        <v>1040520.4234636972</v>
      </c>
      <c r="AO19" s="436">
        <f t="shared" si="15"/>
        <v>13.855231553132269</v>
      </c>
      <c r="AP19" s="436">
        <f t="shared" si="16"/>
        <v>191.96744139091203</v>
      </c>
      <c r="AQ19" s="436">
        <f t="shared" si="17"/>
        <v>0.93535469609234989</v>
      </c>
      <c r="AR19" s="437">
        <f t="shared" si="18"/>
        <v>0.87488840750201224</v>
      </c>
      <c r="AS19" s="774">
        <f t="shared" si="31"/>
        <v>2.5481171046493887</v>
      </c>
      <c r="AT19" s="1117">
        <f t="shared" si="32"/>
        <v>632171.67780945497</v>
      </c>
    </row>
    <row r="20" spans="1:46">
      <c r="A20" s="405">
        <v>1973</v>
      </c>
      <c r="B20" s="129">
        <f>'Brd Link'!S23</f>
        <v>432244.89386258059</v>
      </c>
      <c r="C20" s="436">
        <f t="shared" si="19"/>
        <v>12.976747590549403</v>
      </c>
      <c r="D20" s="435">
        <f t="shared" si="0"/>
        <v>1976</v>
      </c>
      <c r="E20" s="129">
        <f>'Brd Link'!D23</f>
        <v>1526.6333920158568</v>
      </c>
      <c r="F20" s="436">
        <f t="shared" si="20"/>
        <v>7.3308201925797913</v>
      </c>
      <c r="G20" s="436">
        <f t="shared" si="33"/>
        <v>53.740924695935611</v>
      </c>
      <c r="H20" s="436">
        <f t="shared" si="34"/>
        <v>-5.6459273979696114</v>
      </c>
      <c r="I20" s="436">
        <f t="shared" si="21"/>
        <v>31.876496183143907</v>
      </c>
      <c r="J20" s="435">
        <f t="shared" si="1"/>
        <v>1977</v>
      </c>
      <c r="K20" s="795">
        <f>'Brd Link'!E23</f>
        <v>27374.099996765071</v>
      </c>
      <c r="L20" s="436">
        <f t="shared" si="22"/>
        <v>10.217352589747847</v>
      </c>
      <c r="M20" s="436">
        <f t="shared" si="23"/>
        <v>104.39429394322704</v>
      </c>
      <c r="N20" s="436">
        <f t="shared" si="24"/>
        <v>-2.7593950008015558</v>
      </c>
      <c r="O20" s="436">
        <f t="shared" si="25"/>
        <v>7.6142607704486176</v>
      </c>
      <c r="P20" s="129">
        <f>'Brd Link'!F23</f>
        <v>30330.912651635219</v>
      </c>
      <c r="Q20" s="436">
        <f t="shared" si="2"/>
        <v>10.319922690953129</v>
      </c>
      <c r="R20" s="436">
        <f t="shared" si="3"/>
        <v>106.50080434724929</v>
      </c>
      <c r="S20" s="436">
        <f t="shared" si="35"/>
        <v>-2.6568248995962747</v>
      </c>
      <c r="T20" s="436">
        <f t="shared" si="4"/>
        <v>7.0587185471147551</v>
      </c>
      <c r="U20" s="435">
        <f t="shared" si="5"/>
        <v>1978</v>
      </c>
      <c r="V20" s="129">
        <f>'Brd Link'!I23</f>
        <v>297364.96532358415</v>
      </c>
      <c r="W20" s="436">
        <f t="shared" si="26"/>
        <v>12.602715502852924</v>
      </c>
      <c r="X20" s="436">
        <f t="shared" si="27"/>
        <v>158.82843804584942</v>
      </c>
      <c r="Y20" s="436">
        <f t="shared" si="28"/>
        <v>-0.37403208769647928</v>
      </c>
      <c r="Z20" s="437">
        <f t="shared" si="29"/>
        <v>0.13990000262658675</v>
      </c>
      <c r="AA20" s="796">
        <f>'Brd Link'!J23</f>
        <v>18712.741107786904</v>
      </c>
      <c r="AB20" s="436">
        <f t="shared" si="6"/>
        <v>9.8369599134965462</v>
      </c>
      <c r="AC20" s="436">
        <f t="shared" si="7"/>
        <v>96.765780339737972</v>
      </c>
      <c r="AD20" s="436">
        <f t="shared" si="30"/>
        <v>-3.1397876770528566</v>
      </c>
      <c r="AE20" s="437">
        <f t="shared" si="8"/>
        <v>9.8582666569729724</v>
      </c>
      <c r="AF20" s="435">
        <f t="shared" si="9"/>
        <v>1979</v>
      </c>
      <c r="AG20" s="795">
        <f>'Brd Link'!L23</f>
        <v>83550.106051407231</v>
      </c>
      <c r="AH20" s="436">
        <f t="shared" si="10"/>
        <v>11.333201803339398</v>
      </c>
      <c r="AI20" s="436">
        <f t="shared" si="11"/>
        <v>128.44146311521538</v>
      </c>
      <c r="AJ20" s="436">
        <f t="shared" si="12"/>
        <v>-1.6435457872100054</v>
      </c>
      <c r="AK20" s="437">
        <f t="shared" si="13"/>
        <v>2.7012427546557567</v>
      </c>
      <c r="AL20" s="127"/>
      <c r="AM20" s="23">
        <v>1973</v>
      </c>
      <c r="AN20" s="442">
        <f t="shared" si="14"/>
        <v>458859.45852319448</v>
      </c>
      <c r="AO20" s="436">
        <f t="shared" si="15"/>
        <v>13.036499251575499</v>
      </c>
      <c r="AP20" s="436">
        <f t="shared" si="16"/>
        <v>169.95031273632856</v>
      </c>
      <c r="AQ20" s="436">
        <f t="shared" si="17"/>
        <v>5.975166102609656E-2</v>
      </c>
      <c r="AR20" s="437">
        <f t="shared" si="18"/>
        <v>3.5702609953775465E-3</v>
      </c>
      <c r="AS20" s="774">
        <f t="shared" si="31"/>
        <v>1.0615728838871494</v>
      </c>
      <c r="AT20" s="1117">
        <f t="shared" si="32"/>
        <v>26614.564660613891</v>
      </c>
    </row>
    <row r="21" spans="1:46">
      <c r="A21" s="405">
        <v>1974</v>
      </c>
      <c r="B21" s="129">
        <f>'Brd Link'!S24</f>
        <v>209834.48285271373</v>
      </c>
      <c r="C21" s="436">
        <f>LN(B21)</f>
        <v>12.254074322033052</v>
      </c>
      <c r="D21" s="435">
        <f t="shared" si="0"/>
        <v>1977</v>
      </c>
      <c r="E21" s="129">
        <f>'Brd Link'!D24</f>
        <v>7552.185255105921</v>
      </c>
      <c r="F21" s="436">
        <f t="shared" si="20"/>
        <v>8.9295922381264159</v>
      </c>
      <c r="G21" s="436">
        <f t="shared" si="33"/>
        <v>79.737617539207534</v>
      </c>
      <c r="H21" s="436">
        <f t="shared" si="34"/>
        <v>-3.3244820839066369</v>
      </c>
      <c r="I21" s="436">
        <f t="shared" si="21"/>
        <v>11.052181126216215</v>
      </c>
      <c r="J21" s="435">
        <f t="shared" si="1"/>
        <v>1978</v>
      </c>
      <c r="K21" s="795">
        <f>'Brd Link'!E24</f>
        <v>7173.3894483794302</v>
      </c>
      <c r="L21" s="436">
        <f t="shared" si="22"/>
        <v>8.8781335483064883</v>
      </c>
      <c r="M21" s="436">
        <f t="shared" si="23"/>
        <v>78.821255301565159</v>
      </c>
      <c r="N21" s="436">
        <f t="shared" si="24"/>
        <v>-3.3759407737265641</v>
      </c>
      <c r="O21" s="436">
        <f t="shared" si="25"/>
        <v>11.396976107709513</v>
      </c>
      <c r="P21" s="129">
        <f>'Brd Link'!F24</f>
        <v>154457.91935439411</v>
      </c>
      <c r="Q21" s="436">
        <f t="shared" si="2"/>
        <v>11.947676971583181</v>
      </c>
      <c r="R21" s="436">
        <f t="shared" si="3"/>
        <v>142.74698501729907</v>
      </c>
      <c r="S21" s="436">
        <f t="shared" si="35"/>
        <v>-0.30639735044987015</v>
      </c>
      <c r="T21" s="436">
        <f t="shared" si="4"/>
        <v>9.3879336362700544E-2</v>
      </c>
      <c r="U21" s="435">
        <f t="shared" si="5"/>
        <v>1979</v>
      </c>
      <c r="V21" s="129">
        <f>'Brd Link'!I24</f>
        <v>442734.39909796033</v>
      </c>
      <c r="W21" s="436">
        <f t="shared" si="26"/>
        <v>13.000725318656022</v>
      </c>
      <c r="X21" s="436">
        <f t="shared" si="27"/>
        <v>169.01885881114373</v>
      </c>
      <c r="Y21" s="436">
        <f t="shared" si="28"/>
        <v>0.74665099662296908</v>
      </c>
      <c r="Z21" s="437">
        <f t="shared" si="29"/>
        <v>0.55748771075807302</v>
      </c>
      <c r="AA21" s="796">
        <f>'Brd Link'!J24</f>
        <v>19045.427762092004</v>
      </c>
      <c r="AB21" s="436">
        <f t="shared" si="6"/>
        <v>9.8545823392586307</v>
      </c>
      <c r="AC21" s="436">
        <f t="shared" si="7"/>
        <v>97.112793081228105</v>
      </c>
      <c r="AD21" s="436">
        <f t="shared" si="30"/>
        <v>-2.3994919827744208</v>
      </c>
      <c r="AE21" s="437">
        <f t="shared" si="8"/>
        <v>5.7575617753987212</v>
      </c>
      <c r="AF21" s="435">
        <f t="shared" si="9"/>
        <v>1980</v>
      </c>
      <c r="AG21" s="795">
        <f>'Brd Link'!L24</f>
        <v>30063.059247625344</v>
      </c>
      <c r="AH21" s="436">
        <f t="shared" si="10"/>
        <v>10.311052429506699</v>
      </c>
      <c r="AI21" s="436">
        <f t="shared" si="11"/>
        <v>106.317802204036</v>
      </c>
      <c r="AJ21" s="436">
        <f t="shared" si="12"/>
        <v>-1.9430218925263534</v>
      </c>
      <c r="AK21" s="437">
        <f t="shared" si="13"/>
        <v>3.7753340748366919</v>
      </c>
      <c r="AL21" s="127"/>
      <c r="AM21" s="23">
        <v>1974</v>
      </c>
      <c r="AN21" s="442">
        <f t="shared" si="14"/>
        <v>661026.38016555714</v>
      </c>
      <c r="AO21" s="436">
        <f t="shared" si="15"/>
        <v>13.401549027516367</v>
      </c>
      <c r="AP21" s="436">
        <f t="shared" si="16"/>
        <v>179.60151633692487</v>
      </c>
      <c r="AQ21" s="436">
        <f t="shared" si="17"/>
        <v>1.1474747054833154</v>
      </c>
      <c r="AR21" s="437">
        <f t="shared" si="18"/>
        <v>1.3166981997240215</v>
      </c>
      <c r="AS21" s="774">
        <f t="shared" si="31"/>
        <v>3.1502276040565862</v>
      </c>
      <c r="AT21" s="1117">
        <f t="shared" si="32"/>
        <v>451191.89731284342</v>
      </c>
    </row>
    <row r="22" spans="1:46">
      <c r="A22" s="405">
        <v>1975</v>
      </c>
      <c r="B22" s="129">
        <f>'Brd Link'!S25</f>
        <v>172586.43317981472</v>
      </c>
      <c r="C22" s="436">
        <f t="shared" si="19"/>
        <v>12.058653451875918</v>
      </c>
      <c r="D22" s="435">
        <f t="shared" si="0"/>
        <v>1978</v>
      </c>
      <c r="E22" s="129">
        <f>'Brd Link'!D25</f>
        <v>986.21043066018365</v>
      </c>
      <c r="F22" s="436">
        <f t="shared" si="20"/>
        <v>6.8938697503515991</v>
      </c>
      <c r="G22" s="436">
        <f t="shared" si="33"/>
        <v>47.525440134812818</v>
      </c>
      <c r="H22" s="436">
        <f t="shared" si="34"/>
        <v>-5.1647837015243194</v>
      </c>
      <c r="I22" s="436">
        <f t="shared" si="21"/>
        <v>26.674990683531249</v>
      </c>
      <c r="J22" s="435">
        <f t="shared" si="1"/>
        <v>1979</v>
      </c>
      <c r="K22" s="795">
        <f>'Brd Link'!E25</f>
        <v>10490.596275512966</v>
      </c>
      <c r="L22" s="436">
        <f t="shared" si="22"/>
        <v>9.2582345420544776</v>
      </c>
      <c r="M22" s="436">
        <f t="shared" si="23"/>
        <v>85.714906835690684</v>
      </c>
      <c r="N22" s="436">
        <f t="shared" si="24"/>
        <v>-2.80041890982144</v>
      </c>
      <c r="O22" s="436">
        <f t="shared" si="25"/>
        <v>7.8423460704855028</v>
      </c>
      <c r="P22" s="129">
        <f>'Brd Link'!F25</f>
        <v>68722.812745743839</v>
      </c>
      <c r="Q22" s="436">
        <f t="shared" si="2"/>
        <v>11.137836486346464</v>
      </c>
      <c r="R22" s="436">
        <f t="shared" si="3"/>
        <v>124.05140159659054</v>
      </c>
      <c r="S22" s="436">
        <f t="shared" si="35"/>
        <v>-0.92081696552945402</v>
      </c>
      <c r="T22" s="436">
        <f t="shared" si="4"/>
        <v>0.84790388400687167</v>
      </c>
      <c r="U22" s="435">
        <f t="shared" si="5"/>
        <v>1980</v>
      </c>
      <c r="V22" s="129">
        <f>'Brd Link'!I25</f>
        <v>410835.62987088464</v>
      </c>
      <c r="W22" s="436">
        <f t="shared" si="26"/>
        <v>12.925948486164664</v>
      </c>
      <c r="X22" s="436">
        <f t="shared" si="27"/>
        <v>167.08014426698256</v>
      </c>
      <c r="Y22" s="436">
        <f t="shared" si="28"/>
        <v>0.86729503428874577</v>
      </c>
      <c r="Z22" s="437">
        <f t="shared" si="29"/>
        <v>0.75220067650191669</v>
      </c>
      <c r="AA22" s="796">
        <f>'Brd Link'!J25</f>
        <v>30063.059247625344</v>
      </c>
      <c r="AB22" s="436">
        <f t="shared" si="6"/>
        <v>10.311052429506699</v>
      </c>
      <c r="AC22" s="436">
        <f t="shared" si="7"/>
        <v>106.317802204036</v>
      </c>
      <c r="AD22" s="436">
        <f t="shared" si="30"/>
        <v>-1.7476010223692193</v>
      </c>
      <c r="AE22" s="437">
        <f t="shared" si="8"/>
        <v>3.0541093333859406</v>
      </c>
      <c r="AF22" s="435">
        <f t="shared" si="9"/>
        <v>1981</v>
      </c>
      <c r="AG22" s="795">
        <f>'Brd Link'!L25</f>
        <v>66636.927918558882</v>
      </c>
      <c r="AH22" s="436">
        <f t="shared" si="10"/>
        <v>11.107014176116621</v>
      </c>
      <c r="AI22" s="436">
        <f t="shared" si="11"/>
        <v>123.36576390845559</v>
      </c>
      <c r="AJ22" s="436">
        <f t="shared" si="12"/>
        <v>-0.95163927575929708</v>
      </c>
      <c r="AK22" s="437">
        <f t="shared" si="13"/>
        <v>0.90561731116767952</v>
      </c>
      <c r="AL22" s="127"/>
      <c r="AM22" s="23">
        <v>1975</v>
      </c>
      <c r="AN22" s="442">
        <f t="shared" si="14"/>
        <v>587735.23648898583</v>
      </c>
      <c r="AO22" s="436">
        <f t="shared" si="15"/>
        <v>13.284031847395191</v>
      </c>
      <c r="AP22" s="436">
        <f t="shared" si="16"/>
        <v>176.46550212260971</v>
      </c>
      <c r="AQ22" s="436">
        <f t="shared" si="17"/>
        <v>1.2253783955192736</v>
      </c>
      <c r="AR22" s="437">
        <f t="shared" si="18"/>
        <v>1.5015522122053895</v>
      </c>
      <c r="AS22" s="774">
        <f t="shared" si="31"/>
        <v>3.4054544477237965</v>
      </c>
      <c r="AT22" s="1117">
        <f t="shared" si="32"/>
        <v>415148.80330917111</v>
      </c>
    </row>
    <row r="23" spans="1:46">
      <c r="A23" s="405">
        <v>1976</v>
      </c>
      <c r="B23" s="129">
        <f>'Brd Link'!S26</f>
        <v>248496.46908689401</v>
      </c>
      <c r="C23" s="436">
        <f t="shared" si="19"/>
        <v>12.423183915512015</v>
      </c>
      <c r="D23" s="435">
        <f t="shared" si="0"/>
        <v>1979</v>
      </c>
      <c r="E23" s="129">
        <f>'Brd Link'!D26</f>
        <v>4292.0722179887089</v>
      </c>
      <c r="F23" s="436">
        <f t="shared" si="20"/>
        <v>8.3645249297946567</v>
      </c>
      <c r="G23" s="436">
        <f t="shared" si="33"/>
        <v>69.965277301156306</v>
      </c>
      <c r="H23" s="436">
        <f t="shared" si="34"/>
        <v>-4.0586589857173569</v>
      </c>
      <c r="I23" s="436">
        <f t="shared" si="21"/>
        <v>16.472712762344244</v>
      </c>
      <c r="J23" s="435">
        <f t="shared" si="1"/>
        <v>1980</v>
      </c>
      <c r="K23" s="795">
        <f>'Brd Link'!E26</f>
        <v>5360.6418899380178</v>
      </c>
      <c r="L23" s="436">
        <f t="shared" si="22"/>
        <v>8.586839002480172</v>
      </c>
      <c r="M23" s="436">
        <f t="shared" si="23"/>
        <v>73.733804054514678</v>
      </c>
      <c r="N23" s="436">
        <f t="shared" si="24"/>
        <v>-3.8363449130318426</v>
      </c>
      <c r="O23" s="436">
        <f t="shared" si="25"/>
        <v>14.717542291745296</v>
      </c>
      <c r="P23" s="129">
        <f>'Brd Link'!F26</f>
        <v>173715.68474284798</v>
      </c>
      <c r="Q23" s="436">
        <f t="shared" si="2"/>
        <v>12.065175246038875</v>
      </c>
      <c r="R23" s="436">
        <f t="shared" si="3"/>
        <v>145.56845371762921</v>
      </c>
      <c r="S23" s="436">
        <f t="shared" si="35"/>
        <v>-0.35800866947313981</v>
      </c>
      <c r="T23" s="436">
        <f t="shared" si="4"/>
        <v>0.12817020741792787</v>
      </c>
      <c r="U23" s="435">
        <f t="shared" si="5"/>
        <v>1981</v>
      </c>
      <c r="V23" s="129">
        <f>'Brd Link'!I26</f>
        <v>897075.92530656559</v>
      </c>
      <c r="W23" s="436">
        <f t="shared" si="26"/>
        <v>13.706895781055929</v>
      </c>
      <c r="X23" s="436">
        <f t="shared" si="27"/>
        <v>187.87899195272882</v>
      </c>
      <c r="Y23" s="436">
        <f t="shared" si="28"/>
        <v>1.2837118655439153</v>
      </c>
      <c r="Z23" s="437">
        <f t="shared" si="29"/>
        <v>1.6479161537382392</v>
      </c>
      <c r="AA23" s="796">
        <f>'Brd Link'!J26</f>
        <v>11995.13963887812</v>
      </c>
      <c r="AB23" s="436">
        <f t="shared" si="6"/>
        <v>9.3922568166298035</v>
      </c>
      <c r="AC23" s="436">
        <f t="shared" si="7"/>
        <v>88.214488109529015</v>
      </c>
      <c r="AD23" s="436">
        <f t="shared" si="30"/>
        <v>-3.0309270988822101</v>
      </c>
      <c r="AE23" s="437">
        <f t="shared" si="8"/>
        <v>9.1865190787385309</v>
      </c>
      <c r="AF23" s="435">
        <f t="shared" si="9"/>
        <v>1982</v>
      </c>
      <c r="AG23" s="795">
        <f>'Brd Link'!L26</f>
        <v>76883.841078144047</v>
      </c>
      <c r="AH23" s="436">
        <f t="shared" si="10"/>
        <v>11.250051004390706</v>
      </c>
      <c r="AI23" s="436">
        <f t="shared" si="11"/>
        <v>126.56364760139232</v>
      </c>
      <c r="AJ23" s="436">
        <f t="shared" si="12"/>
        <v>-1.1731329111213089</v>
      </c>
      <c r="AK23" s="437">
        <f t="shared" si="13"/>
        <v>1.376240827155957</v>
      </c>
      <c r="AL23" s="127"/>
      <c r="AM23" s="23">
        <v>1976</v>
      </c>
      <c r="AN23" s="442">
        <f t="shared" si="14"/>
        <v>1169323.3048743624</v>
      </c>
      <c r="AO23" s="436">
        <f t="shared" si="15"/>
        <v>13.971935767550137</v>
      </c>
      <c r="AP23" s="436">
        <f t="shared" si="16"/>
        <v>195.21498909254686</v>
      </c>
      <c r="AQ23" s="436">
        <f t="shared" si="17"/>
        <v>1.5487518520381227</v>
      </c>
      <c r="AR23" s="437">
        <f t="shared" si="18"/>
        <v>2.3986322991915152</v>
      </c>
      <c r="AS23" s="774">
        <f t="shared" si="31"/>
        <v>4.7055932390953794</v>
      </c>
      <c r="AT23" s="1117">
        <f t="shared" si="32"/>
        <v>920826.83578746836</v>
      </c>
    </row>
    <row r="24" spans="1:46">
      <c r="A24" s="405">
        <v>1977</v>
      </c>
      <c r="B24" s="129">
        <f>'Brd Link'!S27</f>
        <v>357096.4249518197</v>
      </c>
      <c r="C24" s="436">
        <f t="shared" si="19"/>
        <v>12.785761122196162</v>
      </c>
      <c r="D24" s="435">
        <f t="shared" si="0"/>
        <v>1980</v>
      </c>
      <c r="E24" s="129">
        <f>'Brd Link'!D27</f>
        <v>5360.6418899380178</v>
      </c>
      <c r="F24" s="436">
        <f t="shared" si="20"/>
        <v>8.586839002480172</v>
      </c>
      <c r="G24" s="436">
        <f t="shared" si="33"/>
        <v>73.733804054514678</v>
      </c>
      <c r="H24" s="436">
        <f t="shared" si="34"/>
        <v>-4.1989221197159896</v>
      </c>
      <c r="I24" s="436">
        <f t="shared" si="21"/>
        <v>17.63094696744022</v>
      </c>
      <c r="J24" s="435">
        <f t="shared" si="1"/>
        <v>1981</v>
      </c>
      <c r="K24" s="795">
        <f>'Brd Link'!E27</f>
        <v>206574.75022171927</v>
      </c>
      <c r="L24" s="436">
        <f t="shared" si="22"/>
        <v>12.238417612427757</v>
      </c>
      <c r="M24" s="436">
        <f t="shared" si="23"/>
        <v>149.77886565618192</v>
      </c>
      <c r="N24" s="436">
        <f t="shared" si="24"/>
        <v>-0.54734350976840351</v>
      </c>
      <c r="O24" s="436">
        <f t="shared" si="25"/>
        <v>0.29958491768559442</v>
      </c>
      <c r="P24" s="129">
        <f>'Brd Link'!F27</f>
        <v>135148.94242353513</v>
      </c>
      <c r="Q24" s="436">
        <f t="shared" si="2"/>
        <v>11.814132726468909</v>
      </c>
      <c r="R24" s="436">
        <f t="shared" si="3"/>
        <v>139.57373207862369</v>
      </c>
      <c r="S24" s="436">
        <f t="shared" si="35"/>
        <v>-0.97162839572725168</v>
      </c>
      <c r="T24" s="436">
        <f t="shared" si="4"/>
        <v>0.94406173938351279</v>
      </c>
      <c r="U24" s="435">
        <f t="shared" si="5"/>
        <v>1982</v>
      </c>
      <c r="V24" s="129">
        <f>'Brd Link'!I27</f>
        <v>1351823.9406582871</v>
      </c>
      <c r="W24" s="436">
        <f t="shared" si="26"/>
        <v>14.11696530569891</v>
      </c>
      <c r="X24" s="436">
        <f t="shared" si="27"/>
        <v>199.28870944230673</v>
      </c>
      <c r="Y24" s="436">
        <f t="shared" si="28"/>
        <v>1.3312041835027497</v>
      </c>
      <c r="Z24" s="437">
        <f t="shared" si="29"/>
        <v>1.7721045781752225</v>
      </c>
      <c r="AA24" s="796">
        <f>'Brd Link'!J27</f>
        <v>25753.29183741381</v>
      </c>
      <c r="AB24" s="436">
        <f t="shared" si="6"/>
        <v>10.156317736267425</v>
      </c>
      <c r="AC24" s="436">
        <f t="shared" si="7"/>
        <v>103.15078996002028</v>
      </c>
      <c r="AD24" s="436">
        <f t="shared" si="30"/>
        <v>-2.6294433859287363</v>
      </c>
      <c r="AE24" s="437">
        <f t="shared" si="8"/>
        <v>6.9139725198043775</v>
      </c>
      <c r="AF24" s="435">
        <f t="shared" si="9"/>
        <v>1983</v>
      </c>
      <c r="AG24" s="795">
        <f>'Brd Link'!L27</f>
        <v>143559.06804372478</v>
      </c>
      <c r="AH24" s="436">
        <f t="shared" si="10"/>
        <v>11.874501853485977</v>
      </c>
      <c r="AI24" s="436">
        <f t="shared" si="11"/>
        <v>141.00379426844191</v>
      </c>
      <c r="AJ24" s="436">
        <f t="shared" si="12"/>
        <v>-0.91125926871018326</v>
      </c>
      <c r="AK24" s="437">
        <f t="shared" si="13"/>
        <v>0.83039345481021798</v>
      </c>
      <c r="AL24" s="127"/>
      <c r="AM24" s="23">
        <v>1977</v>
      </c>
      <c r="AN24" s="442">
        <f t="shared" si="14"/>
        <v>1868220.635074618</v>
      </c>
      <c r="AO24" s="436">
        <f t="shared" si="15"/>
        <v>14.440497003791112</v>
      </c>
      <c r="AP24" s="436">
        <f t="shared" si="16"/>
        <v>208.52795371650009</v>
      </c>
      <c r="AQ24" s="436">
        <f t="shared" si="17"/>
        <v>1.6547358815949509</v>
      </c>
      <c r="AR24" s="437">
        <f t="shared" si="18"/>
        <v>2.7381508378378192</v>
      </c>
      <c r="AS24" s="774">
        <f t="shared" si="31"/>
        <v>5.2316979519654465</v>
      </c>
      <c r="AT24" s="1117">
        <f t="shared" si="32"/>
        <v>1511124.2101227983</v>
      </c>
    </row>
    <row r="25" spans="1:46">
      <c r="A25" s="405">
        <v>1978</v>
      </c>
      <c r="B25" s="129">
        <f>'Brd Link'!S28</f>
        <v>234393.70547443983</v>
      </c>
      <c r="C25" s="436">
        <f t="shared" si="19"/>
        <v>12.364757482546439</v>
      </c>
      <c r="D25" s="435">
        <f t="shared" si="0"/>
        <v>1981</v>
      </c>
      <c r="E25" s="129">
        <f>'Brd Link'!D28</f>
        <v>79535.13866318154</v>
      </c>
      <c r="F25" s="436">
        <f t="shared" si="20"/>
        <v>11.283954198754358</v>
      </c>
      <c r="G25" s="436">
        <f t="shared" si="33"/>
        <v>127.32762235958612</v>
      </c>
      <c r="H25" s="436">
        <f t="shared" si="34"/>
        <v>-1.0808032837920794</v>
      </c>
      <c r="I25" s="436">
        <f t="shared" si="21"/>
        <v>1.168135738255742</v>
      </c>
      <c r="J25" s="435">
        <f t="shared" si="1"/>
        <v>1982</v>
      </c>
      <c r="K25" s="795">
        <f>'Brd Link'!E28</f>
        <v>49451.536070921153</v>
      </c>
      <c r="L25" s="436">
        <f t="shared" si="22"/>
        <v>10.808748399681072</v>
      </c>
      <c r="M25" s="436">
        <f t="shared" si="23"/>
        <v>116.82904196760813</v>
      </c>
      <c r="N25" s="436">
        <f t="shared" si="24"/>
        <v>-1.5560090828653663</v>
      </c>
      <c r="O25" s="436">
        <f t="shared" si="25"/>
        <v>2.4211642659595185</v>
      </c>
      <c r="P25" s="129">
        <f>'Brd Link'!F28</f>
        <v>359995.48750384717</v>
      </c>
      <c r="Q25" s="436">
        <f t="shared" si="2"/>
        <v>12.793846775642196</v>
      </c>
      <c r="R25" s="436">
        <f t="shared" si="3"/>
        <v>163.68251531861023</v>
      </c>
      <c r="S25" s="436">
        <f t="shared" si="35"/>
        <v>0.42908929309575849</v>
      </c>
      <c r="T25" s="436">
        <f t="shared" si="4"/>
        <v>0.18411762144941773</v>
      </c>
      <c r="U25" s="435">
        <f t="shared" si="5"/>
        <v>1983</v>
      </c>
      <c r="V25" s="129">
        <f>'Brd Link'!I28</f>
        <v>817109.74979398493</v>
      </c>
      <c r="W25" s="436">
        <f t="shared" si="26"/>
        <v>13.613528697493491</v>
      </c>
      <c r="X25" s="436">
        <f t="shared" si="27"/>
        <v>185.32816359747883</v>
      </c>
      <c r="Y25" s="436">
        <f t="shared" si="28"/>
        <v>1.248771214947052</v>
      </c>
      <c r="Z25" s="437">
        <f t="shared" si="29"/>
        <v>1.5594295472803363</v>
      </c>
      <c r="AA25" s="796">
        <f>'Brd Link'!J28</f>
        <v>30862.418481763816</v>
      </c>
      <c r="AB25" s="436">
        <f t="shared" si="6"/>
        <v>10.33729449231382</v>
      </c>
      <c r="AC25" s="436">
        <f t="shared" si="7"/>
        <v>106.85965742082163</v>
      </c>
      <c r="AD25" s="436">
        <f t="shared" si="30"/>
        <v>-2.0274629902326176</v>
      </c>
      <c r="AE25" s="437">
        <f t="shared" si="8"/>
        <v>4.1106061767629871</v>
      </c>
      <c r="AF25" s="435">
        <f t="shared" si="9"/>
        <v>1984</v>
      </c>
      <c r="AG25" s="795">
        <f>'Brd Link'!L28</f>
        <v>137639.34485561514</v>
      </c>
      <c r="AH25" s="436">
        <f t="shared" si="10"/>
        <v>11.832392100060035</v>
      </c>
      <c r="AI25" s="436">
        <f t="shared" si="11"/>
        <v>140.00550280956313</v>
      </c>
      <c r="AJ25" s="436">
        <f t="shared" si="12"/>
        <v>-0.53236538248640253</v>
      </c>
      <c r="AK25" s="437">
        <f t="shared" si="13"/>
        <v>0.28341290046989365</v>
      </c>
      <c r="AL25" s="127"/>
      <c r="AM25" s="23">
        <v>1978</v>
      </c>
      <c r="AN25" s="442">
        <f t="shared" si="14"/>
        <v>1474593.6753693139</v>
      </c>
      <c r="AO25" s="436">
        <f t="shared" si="15"/>
        <v>14.203893035480146</v>
      </c>
      <c r="AP25" s="436">
        <f t="shared" si="16"/>
        <v>201.7505773633614</v>
      </c>
      <c r="AQ25" s="436">
        <f t="shared" si="17"/>
        <v>1.8391355529337081</v>
      </c>
      <c r="AR25" s="437">
        <f t="shared" si="18"/>
        <v>3.3824195820647764</v>
      </c>
      <c r="AS25" s="775">
        <f t="shared" si="31"/>
        <v>6.2910975889244405</v>
      </c>
      <c r="AT25" s="1117">
        <f t="shared" si="32"/>
        <v>1240199.9698948741</v>
      </c>
    </row>
    <row r="26" spans="1:46">
      <c r="A26" s="405">
        <v>1979</v>
      </c>
      <c r="B26" s="129">
        <f>'Brd Link'!S29</f>
        <v>507703.14743589744</v>
      </c>
      <c r="C26" s="436">
        <f t="shared" si="19"/>
        <v>13.137652200317289</v>
      </c>
      <c r="D26" s="435">
        <f t="shared" si="0"/>
        <v>1982</v>
      </c>
      <c r="E26" s="129">
        <f>'Brd Link'!D29</f>
        <v>16869.513332793169</v>
      </c>
      <c r="F26" s="436">
        <f t="shared" si="20"/>
        <v>9.7332633270381361</v>
      </c>
      <c r="G26" s="436">
        <f t="shared" si="33"/>
        <v>94.736414993465488</v>
      </c>
      <c r="H26" s="436">
        <f t="shared" si="34"/>
        <v>-3.4043888732791525</v>
      </c>
      <c r="I26" s="436">
        <f t="shared" si="21"/>
        <v>11.589863600506897</v>
      </c>
      <c r="J26" s="435">
        <f t="shared" si="1"/>
        <v>1983</v>
      </c>
      <c r="K26" s="795">
        <f>'Brd Link'!E29</f>
        <v>81377.595887697578</v>
      </c>
      <c r="L26" s="436">
        <f t="shared" si="22"/>
        <v>11.306855279311714</v>
      </c>
      <c r="M26" s="436">
        <f t="shared" si="23"/>
        <v>127.84497630729918</v>
      </c>
      <c r="N26" s="436">
        <f t="shared" si="24"/>
        <v>-1.8307969210055748</v>
      </c>
      <c r="O26" s="436">
        <f t="shared" si="25"/>
        <v>3.3518173659634929</v>
      </c>
      <c r="P26" s="129">
        <f>'Brd Link'!F29</f>
        <v>346502.19282529014</v>
      </c>
      <c r="Q26" s="436">
        <f t="shared" si="2"/>
        <v>12.755644426092186</v>
      </c>
      <c r="R26" s="436">
        <f t="shared" si="3"/>
        <v>162.70646472489665</v>
      </c>
      <c r="S26" s="436">
        <f t="shared" si="35"/>
        <v>-0.38200777422510268</v>
      </c>
      <c r="T26" s="436">
        <f t="shared" si="4"/>
        <v>0.14592993956841702</v>
      </c>
      <c r="U26" s="435">
        <f t="shared" si="5"/>
        <v>1984</v>
      </c>
      <c r="V26" s="129">
        <f>'Brd Link'!I29</f>
        <v>1424421.7932741994</v>
      </c>
      <c r="W26" s="436">
        <f t="shared" si="26"/>
        <v>14.169276530236562</v>
      </c>
      <c r="X26" s="436">
        <f t="shared" si="27"/>
        <v>200.76839739031266</v>
      </c>
      <c r="Y26" s="436">
        <f t="shared" si="28"/>
        <v>1.0316243299192733</v>
      </c>
      <c r="Z26" s="437">
        <f t="shared" si="29"/>
        <v>1.0642487580813897</v>
      </c>
      <c r="AA26" s="796">
        <f>'Brd Link'!J29</f>
        <v>16495.369513287449</v>
      </c>
      <c r="AB26" s="436">
        <f t="shared" si="6"/>
        <v>9.7108349849448086</v>
      </c>
      <c r="AC26" s="436">
        <f t="shared" si="7"/>
        <v>94.300316104828042</v>
      </c>
      <c r="AD26" s="436">
        <f t="shared" si="30"/>
        <v>-3.4268172153724801</v>
      </c>
      <c r="AE26" s="437">
        <f t="shared" si="8"/>
        <v>11.743076227573198</v>
      </c>
      <c r="AF26" s="435">
        <f t="shared" si="9"/>
        <v>1985</v>
      </c>
      <c r="AG26" s="795">
        <f>'Brd Link'!L29</f>
        <v>169244.34278971035</v>
      </c>
      <c r="AH26" s="436">
        <f t="shared" si="10"/>
        <v>12.03909876504431</v>
      </c>
      <c r="AI26" s="436">
        <f t="shared" si="11"/>
        <v>144.93989907449142</v>
      </c>
      <c r="AJ26" s="436">
        <f t="shared" si="12"/>
        <v>-1.0985534352729791</v>
      </c>
      <c r="AK26" s="437">
        <f t="shared" si="13"/>
        <v>1.2068196501500634</v>
      </c>
      <c r="AL26" s="127"/>
      <c r="AM26" s="23">
        <v>1979</v>
      </c>
      <c r="AN26" s="442">
        <f t="shared" si="14"/>
        <v>2054910.807622978</v>
      </c>
      <c r="AO26" s="436">
        <f t="shared" si="15"/>
        <v>14.535743002353996</v>
      </c>
      <c r="AP26" s="436">
        <f t="shared" si="16"/>
        <v>211.28782463048316</v>
      </c>
      <c r="AQ26" s="436">
        <f t="shared" si="17"/>
        <v>1.3980908020367069</v>
      </c>
      <c r="AR26" s="437">
        <f t="shared" si="18"/>
        <v>1.9546578907396424</v>
      </c>
      <c r="AS26" s="774">
        <f t="shared" si="31"/>
        <v>4.0474651733027338</v>
      </c>
      <c r="AT26" s="1117">
        <f t="shared" si="32"/>
        <v>1547207.6601870805</v>
      </c>
    </row>
    <row r="27" spans="1:46">
      <c r="A27" s="405">
        <v>1980</v>
      </c>
      <c r="B27" s="129">
        <f>'Brd Link'!S30</f>
        <v>609245.6797237664</v>
      </c>
      <c r="C27" s="436">
        <f t="shared" si="19"/>
        <v>13.319976880323642</v>
      </c>
      <c r="D27" s="435">
        <f t="shared" si="0"/>
        <v>1983</v>
      </c>
      <c r="E27" s="129">
        <f>'Brd Link'!D30</f>
        <v>25739.438344923765</v>
      </c>
      <c r="F27" s="436">
        <f t="shared" si="20"/>
        <v>10.155779660590518</v>
      </c>
      <c r="G27" s="436">
        <f t="shared" si="33"/>
        <v>103.13986051446406</v>
      </c>
      <c r="H27" s="436">
        <f t="shared" si="34"/>
        <v>-3.1641972197331234</v>
      </c>
      <c r="I27" s="436">
        <f t="shared" si="21"/>
        <v>10.012144045366828</v>
      </c>
      <c r="J27" s="435">
        <f t="shared" si="1"/>
        <v>1984</v>
      </c>
      <c r="K27" s="795">
        <f>'Brd Link'!E30</f>
        <v>17078.08927074348</v>
      </c>
      <c r="L27" s="436">
        <f t="shared" si="22"/>
        <v>9.7455515916903028</v>
      </c>
      <c r="M27" s="436">
        <f t="shared" si="23"/>
        <v>94.975775826297394</v>
      </c>
      <c r="N27" s="436">
        <f t="shared" si="24"/>
        <v>-3.5744252886333387</v>
      </c>
      <c r="O27" s="436">
        <f t="shared" si="25"/>
        <v>12.776516144021526</v>
      </c>
      <c r="P27" s="129">
        <f>'Brd Link'!F30</f>
        <v>203458.33386630402</v>
      </c>
      <c r="Q27" s="436">
        <f t="shared" si="2"/>
        <v>12.223216515315409</v>
      </c>
      <c r="R27" s="436">
        <f t="shared" si="3"/>
        <v>149.40702198027935</v>
      </c>
      <c r="S27" s="436">
        <f t="shared" si="35"/>
        <v>-1.0967603650082336</v>
      </c>
      <c r="T27" s="436">
        <f t="shared" si="4"/>
        <v>1.2028832982529938</v>
      </c>
      <c r="U27" s="435">
        <f t="shared" si="5"/>
        <v>1985</v>
      </c>
      <c r="V27" s="129">
        <f>'Brd Link'!I30</f>
        <v>1044206.836082815</v>
      </c>
      <c r="W27" s="436">
        <f t="shared" si="26"/>
        <v>13.858768146655043</v>
      </c>
      <c r="X27" s="436">
        <f t="shared" si="27"/>
        <v>192.06545454274047</v>
      </c>
      <c r="Y27" s="436">
        <f t="shared" si="28"/>
        <v>0.53879126633140162</v>
      </c>
      <c r="Z27" s="437">
        <f t="shared" si="29"/>
        <v>0.29029602867499538</v>
      </c>
      <c r="AA27" s="796">
        <f>'Brd Link'!J30</f>
        <v>26421.811721019738</v>
      </c>
      <c r="AB27" s="436">
        <f t="shared" si="6"/>
        <v>10.181945149571556</v>
      </c>
      <c r="AC27" s="436">
        <f t="shared" si="7"/>
        <v>103.67200702888373</v>
      </c>
      <c r="AD27" s="436">
        <f t="shared" si="30"/>
        <v>-3.1380317307520862</v>
      </c>
      <c r="AE27" s="437">
        <f t="shared" si="8"/>
        <v>9.8472431432069332</v>
      </c>
      <c r="AF27" s="435">
        <f t="shared" si="9"/>
        <v>1986</v>
      </c>
      <c r="AG27" s="795">
        <f>'Brd Link'!L30</f>
        <v>154255.69752758573</v>
      </c>
      <c r="AH27" s="436">
        <f t="shared" si="10"/>
        <v>11.946366878055242</v>
      </c>
      <c r="AI27" s="436">
        <f t="shared" si="11"/>
        <v>142.71568158509535</v>
      </c>
      <c r="AJ27" s="436">
        <f t="shared" si="12"/>
        <v>-1.3736100022683995</v>
      </c>
      <c r="AK27" s="437">
        <f t="shared" si="13"/>
        <v>1.8868044383317923</v>
      </c>
      <c r="AL27" s="127"/>
      <c r="AM27" s="23">
        <v>1980</v>
      </c>
      <c r="AN27" s="442">
        <f t="shared" si="14"/>
        <v>1471160.2068133918</v>
      </c>
      <c r="AO27" s="436">
        <f t="shared" si="15"/>
        <v>14.201561903791564</v>
      </c>
      <c r="AP27" s="436">
        <f t="shared" si="16"/>
        <v>201.68436050722389</v>
      </c>
      <c r="AQ27" s="436">
        <f t="shared" si="17"/>
        <v>0.88158502346792145</v>
      </c>
      <c r="AR27" s="437">
        <f t="shared" si="18"/>
        <v>0.77719215360293559</v>
      </c>
      <c r="AS27" s="774">
        <f t="shared" si="31"/>
        <v>2.4147240690823111</v>
      </c>
      <c r="AT27" s="1117">
        <f t="shared" si="32"/>
        <v>861914.52708962536</v>
      </c>
    </row>
    <row r="28" spans="1:46">
      <c r="A28" s="405">
        <v>1981</v>
      </c>
      <c r="B28" s="129">
        <f>'Brd Link'!S31</f>
        <v>779344.03185492684</v>
      </c>
      <c r="C28" s="436">
        <f t="shared" si="19"/>
        <v>13.566207860038292</v>
      </c>
      <c r="D28" s="435">
        <f t="shared" si="0"/>
        <v>1984</v>
      </c>
      <c r="E28" s="129">
        <f>'Brd Link'!D31</f>
        <v>4780.0090155024582</v>
      </c>
      <c r="F28" s="436">
        <f t="shared" si="20"/>
        <v>8.4721977115721039</v>
      </c>
      <c r="G28" s="436">
        <f t="shared" si="33"/>
        <v>71.778134063967599</v>
      </c>
      <c r="H28" s="436">
        <f t="shared" si="34"/>
        <v>-5.0940101484661886</v>
      </c>
      <c r="I28" s="436">
        <f t="shared" si="21"/>
        <v>25.948939392676522</v>
      </c>
      <c r="J28" s="435">
        <f t="shared" si="1"/>
        <v>1985</v>
      </c>
      <c r="K28" s="795">
        <f>'Brd Link'!E31</f>
        <v>117912.62915245809</v>
      </c>
      <c r="L28" s="436">
        <f t="shared" si="22"/>
        <v>11.677699198282076</v>
      </c>
      <c r="M28" s="436">
        <f t="shared" si="23"/>
        <v>136.36865856555784</v>
      </c>
      <c r="N28" s="436">
        <f t="shared" si="24"/>
        <v>-1.8885086617562152</v>
      </c>
      <c r="O28" s="436">
        <f t="shared" si="25"/>
        <v>3.566464965528251</v>
      </c>
      <c r="P28" s="129">
        <f>'Brd Link'!F31</f>
        <v>157083.49997006214</v>
      </c>
      <c r="Q28" s="436">
        <f t="shared" si="2"/>
        <v>11.964532789893058</v>
      </c>
      <c r="R28" s="436">
        <f t="shared" si="3"/>
        <v>143.15004488042615</v>
      </c>
      <c r="S28" s="436">
        <f t="shared" si="35"/>
        <v>-1.6016750701452347</v>
      </c>
      <c r="T28" s="436">
        <f t="shared" si="4"/>
        <v>2.5653630303247423</v>
      </c>
      <c r="U28" s="435">
        <f t="shared" si="5"/>
        <v>1986</v>
      </c>
      <c r="V28" s="129">
        <f>'Brd Link'!I31</f>
        <v>729707.86718836357</v>
      </c>
      <c r="W28" s="436">
        <f t="shared" si="26"/>
        <v>13.500399551096667</v>
      </c>
      <c r="X28" s="436">
        <f t="shared" si="27"/>
        <v>182.26078803925108</v>
      </c>
      <c r="Y28" s="436">
        <f t="shared" si="28"/>
        <v>-6.5808308941625329E-2</v>
      </c>
      <c r="Z28" s="437">
        <f t="shared" si="29"/>
        <v>4.3307335257564044E-3</v>
      </c>
      <c r="AA28" s="796">
        <f>'Brd Link'!J31</f>
        <v>8621.2592318647967</v>
      </c>
      <c r="AB28" s="436">
        <f t="shared" si="6"/>
        <v>9.0619864355716402</v>
      </c>
      <c r="AC28" s="436">
        <f t="shared" si="7"/>
        <v>82.119598158484393</v>
      </c>
      <c r="AD28" s="436">
        <f t="shared" si="30"/>
        <v>-4.5042214244666514</v>
      </c>
      <c r="AE28" s="437">
        <f t="shared" si="8"/>
        <v>20.288010640624389</v>
      </c>
      <c r="AF28" s="435">
        <f t="shared" si="9"/>
        <v>1987</v>
      </c>
      <c r="AG28" s="795">
        <f>'Brd Link'!L31</f>
        <v>96117.249082004084</v>
      </c>
      <c r="AH28" s="436">
        <f t="shared" si="10"/>
        <v>11.473324069819592</v>
      </c>
      <c r="AI28" s="436">
        <f t="shared" si="11"/>
        <v>131.6371652111016</v>
      </c>
      <c r="AJ28" s="436">
        <f t="shared" si="12"/>
        <v>-2.0928837902186999</v>
      </c>
      <c r="AK28" s="437">
        <f t="shared" si="13"/>
        <v>4.3801625593601905</v>
      </c>
      <c r="AL28" s="127"/>
      <c r="AM28" s="23">
        <v>1981</v>
      </c>
      <c r="AN28" s="442">
        <f t="shared" si="14"/>
        <v>1114222.5136402552</v>
      </c>
      <c r="AO28" s="436">
        <f t="shared" si="15"/>
        <v>13.923667422467974</v>
      </c>
      <c r="AP28" s="436">
        <f t="shared" si="16"/>
        <v>193.86851449149594</v>
      </c>
      <c r="AQ28" s="436">
        <f t="shared" si="17"/>
        <v>0.35745956242968246</v>
      </c>
      <c r="AR28" s="437">
        <f t="shared" si="18"/>
        <v>0.12777733877242006</v>
      </c>
      <c r="AS28" s="774">
        <f t="shared" si="31"/>
        <v>1.4296927519779419</v>
      </c>
      <c r="AT28" s="1117">
        <f t="shared" si="32"/>
        <v>334878.48178532836</v>
      </c>
    </row>
    <row r="29" spans="1:46">
      <c r="A29" s="405">
        <v>1982</v>
      </c>
      <c r="B29" s="129">
        <f>'Brd Link'!S32</f>
        <v>609259.17976030742</v>
      </c>
      <c r="C29" s="436">
        <f t="shared" si="19"/>
        <v>13.319999038686715</v>
      </c>
      <c r="D29" s="435">
        <f t="shared" si="0"/>
        <v>1985</v>
      </c>
      <c r="E29" s="129">
        <f>'Brd Link'!D32</f>
        <v>31108.622740349845</v>
      </c>
      <c r="F29" s="436">
        <f t="shared" si="20"/>
        <v>10.345240318270431</v>
      </c>
      <c r="G29" s="436">
        <f t="shared" si="33"/>
        <v>107.02399724276809</v>
      </c>
      <c r="H29" s="436">
        <f t="shared" si="34"/>
        <v>-2.9747587204162844</v>
      </c>
      <c r="I29" s="436">
        <f t="shared" si="21"/>
        <v>8.8491894446927297</v>
      </c>
      <c r="J29" s="435">
        <f t="shared" si="1"/>
        <v>1986</v>
      </c>
      <c r="K29" s="795">
        <f>'Brd Link'!E32</f>
        <v>130462.91282755243</v>
      </c>
      <c r="L29" s="436">
        <f t="shared" si="22"/>
        <v>11.778844272462115</v>
      </c>
      <c r="M29" s="436">
        <f t="shared" si="23"/>
        <v>138.74117239491355</v>
      </c>
      <c r="N29" s="436">
        <f t="shared" si="24"/>
        <v>-1.5411547662246017</v>
      </c>
      <c r="O29" s="436">
        <f t="shared" si="25"/>
        <v>2.3751580134568067</v>
      </c>
      <c r="P29" s="129">
        <f>'Brd Link'!F32</f>
        <v>292198.40738779912</v>
      </c>
      <c r="Q29" s="436">
        <f t="shared" si="2"/>
        <v>12.585188327865673</v>
      </c>
      <c r="R29" s="436">
        <f t="shared" si="3"/>
        <v>158.38696524784638</v>
      </c>
      <c r="S29" s="436">
        <f t="shared" si="35"/>
        <v>-0.73481071082104277</v>
      </c>
      <c r="T29" s="436">
        <f t="shared" si="4"/>
        <v>0.53994678073732616</v>
      </c>
      <c r="U29" s="435">
        <f t="shared" si="5"/>
        <v>1987</v>
      </c>
      <c r="V29" s="129">
        <f>'Brd Link'!I32</f>
        <v>1361112.3412895144</v>
      </c>
      <c r="W29" s="436">
        <f t="shared" si="26"/>
        <v>14.123812821422923</v>
      </c>
      <c r="X29" s="436">
        <f t="shared" si="27"/>
        <v>199.48208861459057</v>
      </c>
      <c r="Y29" s="436">
        <f t="shared" si="28"/>
        <v>0.80381378273620796</v>
      </c>
      <c r="Z29" s="437">
        <f t="shared" si="29"/>
        <v>0.64611659731669169</v>
      </c>
      <c r="AA29" s="796">
        <f>'Brd Link'!J32</f>
        <v>11104.369441085768</v>
      </c>
      <c r="AB29" s="436">
        <f t="shared" si="6"/>
        <v>9.315093953184272</v>
      </c>
      <c r="AC29" s="436">
        <f t="shared" si="7"/>
        <v>86.770975356650183</v>
      </c>
      <c r="AD29" s="436">
        <f t="shared" si="30"/>
        <v>-4.0049050855024433</v>
      </c>
      <c r="AE29" s="437">
        <f t="shared" si="8"/>
        <v>16.039264743883333</v>
      </c>
      <c r="AF29" s="435">
        <f t="shared" si="9"/>
        <v>1988</v>
      </c>
      <c r="AG29" s="795">
        <f>'Brd Link'!L32</f>
        <v>72736.613254630647</v>
      </c>
      <c r="AH29" s="436">
        <f t="shared" si="10"/>
        <v>11.194600157856149</v>
      </c>
      <c r="AI29" s="436">
        <f t="shared" si="11"/>
        <v>125.31907269427292</v>
      </c>
      <c r="AJ29" s="436">
        <f t="shared" si="12"/>
        <v>-2.1253988808305659</v>
      </c>
      <c r="AK29" s="437">
        <f t="shared" si="13"/>
        <v>4.5173204026358222</v>
      </c>
      <c r="AL29" s="127"/>
      <c r="AM29" s="23">
        <v>1982</v>
      </c>
      <c r="AN29" s="442">
        <f t="shared" si="14"/>
        <v>1898723.2669409323</v>
      </c>
      <c r="AO29" s="436">
        <f t="shared" si="15"/>
        <v>14.456692253499224</v>
      </c>
      <c r="AP29" s="436">
        <f t="shared" si="16"/>
        <v>208.99595091238447</v>
      </c>
      <c r="AQ29" s="436">
        <f t="shared" si="17"/>
        <v>1.1366932148125084</v>
      </c>
      <c r="AR29" s="437">
        <f t="shared" si="18"/>
        <v>1.2920714646007954</v>
      </c>
      <c r="AS29" s="774">
        <f t="shared" si="31"/>
        <v>3.1164458903810384</v>
      </c>
      <c r="AT29" s="1117">
        <f t="shared" si="32"/>
        <v>1289464.0871806247</v>
      </c>
    </row>
    <row r="30" spans="1:46">
      <c r="A30" s="405">
        <v>1983</v>
      </c>
      <c r="B30" s="129">
        <f>'Brd Link'!S33</f>
        <v>689904.86811018642</v>
      </c>
      <c r="C30" s="436">
        <f t="shared" si="19"/>
        <v>13.444308994764105</v>
      </c>
      <c r="D30" s="435">
        <f t="shared" si="0"/>
        <v>1986</v>
      </c>
      <c r="E30" s="129">
        <f>'Brd Link'!D33</f>
        <v>18917.032725451929</v>
      </c>
      <c r="F30" s="436">
        <f t="shared" si="20"/>
        <v>9.8478179976135216</v>
      </c>
      <c r="G30" s="436">
        <f t="shared" si="33"/>
        <v>96.979519314120793</v>
      </c>
      <c r="H30" s="436">
        <f t="shared" si="34"/>
        <v>-3.5964909971505836</v>
      </c>
      <c r="I30" s="436">
        <f t="shared" si="21"/>
        <v>12.934747492585199</v>
      </c>
      <c r="J30" s="435">
        <f t="shared" si="1"/>
        <v>1987</v>
      </c>
      <c r="K30" s="795">
        <f>'Brd Link'!E33</f>
        <v>121863.40619494946</v>
      </c>
      <c r="L30" s="436">
        <f t="shared" si="22"/>
        <v>11.710656075118306</v>
      </c>
      <c r="M30" s="436">
        <f t="shared" si="23"/>
        <v>137.13946570970529</v>
      </c>
      <c r="N30" s="436">
        <f t="shared" si="24"/>
        <v>-1.7336529196457988</v>
      </c>
      <c r="O30" s="436">
        <f t="shared" si="25"/>
        <v>3.0055524457964027</v>
      </c>
      <c r="P30" s="129">
        <f>'Brd Link'!F33</f>
        <v>113889.25746653602</v>
      </c>
      <c r="Q30" s="436">
        <f t="shared" si="2"/>
        <v>11.642981829504725</v>
      </c>
      <c r="R30" s="436">
        <f t="shared" si="3"/>
        <v>135.5590258821772</v>
      </c>
      <c r="S30" s="436">
        <f t="shared" si="35"/>
        <v>-1.8013271652593794</v>
      </c>
      <c r="T30" s="436">
        <f t="shared" si="4"/>
        <v>3.2447795563013915</v>
      </c>
      <c r="U30" s="435">
        <f t="shared" si="5"/>
        <v>1988</v>
      </c>
      <c r="V30" s="129">
        <f>'Brd Link'!I33</f>
        <v>536879.18023254443</v>
      </c>
      <c r="W30" s="436">
        <f t="shared" si="26"/>
        <v>13.193528357920927</v>
      </c>
      <c r="X30" s="436">
        <f t="shared" si="27"/>
        <v>174.06919053126367</v>
      </c>
      <c r="Y30" s="436">
        <f t="shared" si="28"/>
        <v>-0.25078063684317692</v>
      </c>
      <c r="Z30" s="437">
        <f t="shared" si="29"/>
        <v>6.2890927815469386E-2</v>
      </c>
      <c r="AA30" s="796">
        <f>'Brd Link'!J33</f>
        <v>19073.9255672049</v>
      </c>
      <c r="AB30" s="436">
        <f t="shared" si="6"/>
        <v>9.8560775278142092</v>
      </c>
      <c r="AC30" s="436">
        <f t="shared" si="7"/>
        <v>97.142264234284255</v>
      </c>
      <c r="AD30" s="436">
        <f t="shared" si="30"/>
        <v>-3.5882314669498947</v>
      </c>
      <c r="AE30" s="437">
        <f t="shared" si="8"/>
        <v>12.875405060409394</v>
      </c>
      <c r="AF30" s="435">
        <f t="shared" si="9"/>
        <v>1989</v>
      </c>
      <c r="AG30" s="795">
        <f>'Brd Link'!L33</f>
        <v>151074.20697432294</v>
      </c>
      <c r="AH30" s="436">
        <f t="shared" si="10"/>
        <v>11.925526431997534</v>
      </c>
      <c r="AI30" s="436">
        <f t="shared" si="11"/>
        <v>142.21818068027184</v>
      </c>
      <c r="AJ30" s="436">
        <f t="shared" si="12"/>
        <v>-1.5187825627665708</v>
      </c>
      <c r="AK30" s="437">
        <f t="shared" si="13"/>
        <v>2.3067004729637923</v>
      </c>
      <c r="AL30" s="127"/>
      <c r="AM30" s="23">
        <v>1983</v>
      </c>
      <c r="AN30" s="442">
        <f t="shared" si="14"/>
        <v>961697.00916100969</v>
      </c>
      <c r="AO30" s="436">
        <f t="shared" si="15"/>
        <v>13.77645472074566</v>
      </c>
      <c r="AP30" s="436">
        <f t="shared" si="16"/>
        <v>189.79070467275537</v>
      </c>
      <c r="AQ30" s="436">
        <f t="shared" si="17"/>
        <v>0.33214572598155423</v>
      </c>
      <c r="AR30" s="437">
        <f t="shared" si="18"/>
        <v>0.11032078328781371</v>
      </c>
      <c r="AS30" s="774">
        <f t="shared" si="31"/>
        <v>1.3939559693140398</v>
      </c>
      <c r="AT30" s="1117">
        <f t="shared" si="32"/>
        <v>271792.14105082327</v>
      </c>
    </row>
    <row r="31" spans="1:46">
      <c r="A31" s="405">
        <v>1984</v>
      </c>
      <c r="B31" s="129">
        <f>'Brd Link'!S34</f>
        <v>837471.73615241167</v>
      </c>
      <c r="C31" s="436">
        <f t="shared" si="19"/>
        <v>13.638142794234168</v>
      </c>
      <c r="D31" s="435">
        <f t="shared" si="0"/>
        <v>1987</v>
      </c>
      <c r="E31" s="129">
        <f>'Brd Link'!D34</f>
        <v>16049.892245765806</v>
      </c>
      <c r="F31" s="436">
        <f t="shared" si="20"/>
        <v>9.6834574148761732</v>
      </c>
      <c r="G31" s="436">
        <f t="shared" si="33"/>
        <v>93.769347505720333</v>
      </c>
      <c r="H31" s="436">
        <f t="shared" si="34"/>
        <v>-3.9546853793579948</v>
      </c>
      <c r="I31" s="436">
        <f t="shared" si="21"/>
        <v>15.639536449707887</v>
      </c>
      <c r="J31" s="435">
        <f t="shared" si="1"/>
        <v>1988</v>
      </c>
      <c r="K31" s="795">
        <f>'Brd Link'!E34</f>
        <v>95723.898052422024</v>
      </c>
      <c r="L31" s="436">
        <f t="shared" si="22"/>
        <v>11.469223264682705</v>
      </c>
      <c r="M31" s="436">
        <f t="shared" si="23"/>
        <v>131.54308229513902</v>
      </c>
      <c r="N31" s="436">
        <f t="shared" si="24"/>
        <v>-2.1689195295514638</v>
      </c>
      <c r="O31" s="436">
        <f t="shared" si="25"/>
        <v>4.7042119256697434</v>
      </c>
      <c r="P31" s="129">
        <f>'Brd Link'!F34</f>
        <v>294557.28228182066</v>
      </c>
      <c r="Q31" s="436">
        <f t="shared" si="2"/>
        <v>12.593228770058985</v>
      </c>
      <c r="R31" s="436">
        <f t="shared" si="3"/>
        <v>158.58941085504134</v>
      </c>
      <c r="S31" s="436">
        <f t="shared" si="35"/>
        <v>-1.0449140241751833</v>
      </c>
      <c r="T31" s="436">
        <f t="shared" si="4"/>
        <v>1.0918453179179757</v>
      </c>
      <c r="U31" s="435">
        <f t="shared" si="5"/>
        <v>1989</v>
      </c>
      <c r="V31" s="129">
        <f>'Brd Link'!I34</f>
        <v>1012944.0742998301</v>
      </c>
      <c r="W31" s="436">
        <f t="shared" si="26"/>
        <v>13.828371573710584</v>
      </c>
      <c r="X31" s="436">
        <f t="shared" si="27"/>
        <v>191.22386038060694</v>
      </c>
      <c r="Y31" s="436">
        <f t="shared" si="28"/>
        <v>0.19022877947641526</v>
      </c>
      <c r="Z31" s="437">
        <f t="shared" si="29"/>
        <v>3.6186988541086623E-2</v>
      </c>
      <c r="AA31" s="796">
        <f>'Brd Link'!J34</f>
        <v>19878.74078424929</v>
      </c>
      <c r="AB31" s="436">
        <f t="shared" si="6"/>
        <v>9.8974061373719184</v>
      </c>
      <c r="AC31" s="436">
        <f t="shared" si="7"/>
        <v>97.958648248087314</v>
      </c>
      <c r="AD31" s="436">
        <f t="shared" si="30"/>
        <v>-3.7407366568622495</v>
      </c>
      <c r="AE31" s="437">
        <f t="shared" si="8"/>
        <v>13.993110735992959</v>
      </c>
      <c r="AF31" s="435">
        <f t="shared" si="9"/>
        <v>1990</v>
      </c>
      <c r="AG31" s="795">
        <f>'Brd Link'!L34</f>
        <v>222100.04629314083</v>
      </c>
      <c r="AH31" s="436">
        <f t="shared" si="10"/>
        <v>12.310883218316269</v>
      </c>
      <c r="AI31" s="436">
        <f t="shared" si="11"/>
        <v>151.55784561502114</v>
      </c>
      <c r="AJ31" s="436">
        <f t="shared" si="12"/>
        <v>-1.3272595759178993</v>
      </c>
      <c r="AK31" s="437">
        <f t="shared" si="13"/>
        <v>1.761617981865762</v>
      </c>
      <c r="AL31" s="127"/>
      <c r="AM31" s="23">
        <v>1984</v>
      </c>
      <c r="AN31" s="442">
        <f t="shared" si="14"/>
        <v>1661253.9339572287</v>
      </c>
      <c r="AO31" s="436">
        <f t="shared" si="15"/>
        <v>14.323083257077355</v>
      </c>
      <c r="AP31" s="436">
        <f t="shared" si="16"/>
        <v>205.15071398916967</v>
      </c>
      <c r="AQ31" s="436">
        <f t="shared" si="17"/>
        <v>0.6849404628431861</v>
      </c>
      <c r="AR31" s="437">
        <f t="shared" si="18"/>
        <v>0.46914343763983801</v>
      </c>
      <c r="AS31" s="774">
        <f t="shared" si="31"/>
        <v>1.9836537309181461</v>
      </c>
      <c r="AT31" s="1117">
        <f t="shared" si="32"/>
        <v>823782.197804817</v>
      </c>
    </row>
    <row r="32" spans="1:46">
      <c r="A32" s="405">
        <v>1985</v>
      </c>
      <c r="B32" s="129">
        <f>'Brd Link'!S35</f>
        <v>644071.2163551402</v>
      </c>
      <c r="C32" s="436">
        <f t="shared" si="19"/>
        <v>13.375564583374878</v>
      </c>
      <c r="D32" s="435">
        <f t="shared" si="0"/>
        <v>1988</v>
      </c>
      <c r="E32" s="129">
        <f>'Brd Link'!D35</f>
        <v>36816.902552422027</v>
      </c>
      <c r="F32" s="436">
        <f t="shared" si="20"/>
        <v>10.513712327196895</v>
      </c>
      <c r="G32" s="436">
        <f t="shared" si="33"/>
        <v>110.53814689905195</v>
      </c>
      <c r="H32" s="436">
        <f t="shared" si="34"/>
        <v>-2.8618522561779831</v>
      </c>
      <c r="I32" s="436">
        <f t="shared" si="21"/>
        <v>8.1901983361910116</v>
      </c>
      <c r="J32" s="435">
        <f t="shared" si="1"/>
        <v>1989</v>
      </c>
      <c r="K32" s="795">
        <f>'Brd Link'!E35</f>
        <v>56813.475648974505</v>
      </c>
      <c r="L32" s="436">
        <f t="shared" si="22"/>
        <v>10.947528823911643</v>
      </c>
      <c r="M32" s="436">
        <f t="shared" si="23"/>
        <v>119.84838735037624</v>
      </c>
      <c r="N32" s="436">
        <f t="shared" si="24"/>
        <v>-2.4280357594632349</v>
      </c>
      <c r="O32" s="436">
        <f t="shared" si="25"/>
        <v>5.8953576492322082</v>
      </c>
      <c r="P32" s="129">
        <f>'Brd Link'!F35</f>
        <v>240741.58041960336</v>
      </c>
      <c r="Q32" s="436">
        <f t="shared" si="2"/>
        <v>12.391479356752267</v>
      </c>
      <c r="R32" s="436">
        <f t="shared" si="3"/>
        <v>153.54876064881759</v>
      </c>
      <c r="S32" s="436">
        <f t="shared" si="35"/>
        <v>-0.98408522662261033</v>
      </c>
      <c r="T32" s="436">
        <f t="shared" si="4"/>
        <v>0.96842373325687436</v>
      </c>
      <c r="U32" s="435">
        <f t="shared" si="5"/>
        <v>1990</v>
      </c>
      <c r="V32" s="129">
        <f>'Brd Link'!I35</f>
        <v>641426.45512191299</v>
      </c>
      <c r="W32" s="436">
        <f t="shared" si="26"/>
        <v>13.37144981129318</v>
      </c>
      <c r="X32" s="436">
        <f t="shared" si="27"/>
        <v>178.79567005593242</v>
      </c>
      <c r="Y32" s="436">
        <f t="shared" si="28"/>
        <v>-4.1147720816980824E-3</v>
      </c>
      <c r="Z32" s="437">
        <f t="shared" si="29"/>
        <v>1.693134928432197E-5</v>
      </c>
      <c r="AA32" s="796">
        <f>'Brd Link'!J35</f>
        <v>65724.31340851204</v>
      </c>
      <c r="AB32" s="436">
        <f t="shared" si="6"/>
        <v>11.093224203115401</v>
      </c>
      <c r="AC32" s="436">
        <f t="shared" si="7"/>
        <v>123.05962322058532</v>
      </c>
      <c r="AD32" s="436">
        <f t="shared" si="30"/>
        <v>-2.2823403802594768</v>
      </c>
      <c r="AE32" s="437">
        <f t="shared" si="8"/>
        <v>5.2090776113629733</v>
      </c>
      <c r="AF32" s="435">
        <f t="shared" si="9"/>
        <v>1991</v>
      </c>
      <c r="AG32" s="795">
        <f>'Brd Link'!L35</f>
        <v>68352.632191750556</v>
      </c>
      <c r="AH32" s="436">
        <f t="shared" si="10"/>
        <v>11.13243535189706</v>
      </c>
      <c r="AI32" s="436">
        <f t="shared" si="11"/>
        <v>123.93111686416742</v>
      </c>
      <c r="AJ32" s="436">
        <f t="shared" si="12"/>
        <v>-2.2431292314778171</v>
      </c>
      <c r="AK32" s="437">
        <f t="shared" si="13"/>
        <v>5.0316287491102623</v>
      </c>
      <c r="AL32" s="127"/>
      <c r="AM32" s="23">
        <v>1985</v>
      </c>
      <c r="AN32" s="442">
        <f t="shared" si="14"/>
        <v>1109875.3593431755</v>
      </c>
      <c r="AO32" s="436">
        <f t="shared" si="15"/>
        <v>13.919758278103627</v>
      </c>
      <c r="AP32" s="436">
        <f t="shared" si="16"/>
        <v>193.75967052083445</v>
      </c>
      <c r="AQ32" s="436">
        <f t="shared" si="17"/>
        <v>0.54419369472874857</v>
      </c>
      <c r="AR32" s="437">
        <f t="shared" si="18"/>
        <v>0.29614677738252637</v>
      </c>
      <c r="AS32" s="774">
        <f t="shared" si="31"/>
        <v>1.7232183820045008</v>
      </c>
      <c r="AT32" s="1117">
        <f t="shared" si="32"/>
        <v>465804.14298803534</v>
      </c>
    </row>
    <row r="33" spans="1:49">
      <c r="A33" s="405">
        <v>1986</v>
      </c>
      <c r="B33" s="129">
        <f>'Brd Link'!S36</f>
        <v>512181.00557456672</v>
      </c>
      <c r="C33" s="436">
        <f t="shared" si="19"/>
        <v>13.146433368058696</v>
      </c>
      <c r="D33" s="435">
        <f t="shared" si="0"/>
        <v>1989</v>
      </c>
      <c r="E33" s="129">
        <f>'Brd Link'!D36</f>
        <v>8416.2126489745042</v>
      </c>
      <c r="F33" s="436">
        <f t="shared" si="20"/>
        <v>9.0379152018843385</v>
      </c>
      <c r="G33" s="436">
        <f t="shared" si="33"/>
        <v>81.68391119645203</v>
      </c>
      <c r="H33" s="436">
        <f t="shared" si="34"/>
        <v>-4.1085181661743588</v>
      </c>
      <c r="I33" s="436">
        <f t="shared" si="21"/>
        <v>16.879921521784716</v>
      </c>
      <c r="J33" s="435">
        <f t="shared" si="1"/>
        <v>1990</v>
      </c>
      <c r="K33" s="795">
        <f>'Brd Link'!E36</f>
        <v>235241.49387653868</v>
      </c>
      <c r="L33" s="436">
        <f t="shared" si="22"/>
        <v>12.368367898989618</v>
      </c>
      <c r="M33" s="436">
        <f t="shared" si="23"/>
        <v>152.97652448475685</v>
      </c>
      <c r="N33" s="436">
        <f t="shared" si="24"/>
        <v>-0.77806546906907892</v>
      </c>
      <c r="O33" s="436">
        <f t="shared" si="25"/>
        <v>0.60538587415768585</v>
      </c>
      <c r="P33" s="129">
        <f>'Brd Link'!F36</f>
        <v>283682.55642391811</v>
      </c>
      <c r="Q33" s="436">
        <f t="shared" si="2"/>
        <v>12.555611132914068</v>
      </c>
      <c r="R33" s="436">
        <f t="shared" si="3"/>
        <v>157.64337092095568</v>
      </c>
      <c r="S33" s="436">
        <f t="shared" si="35"/>
        <v>-0.59082223514462939</v>
      </c>
      <c r="T33" s="436">
        <f t="shared" si="4"/>
        <v>0.34907091354129577</v>
      </c>
      <c r="U33" s="435">
        <f t="shared" si="5"/>
        <v>1991</v>
      </c>
      <c r="V33" s="129">
        <f>'Brd Link'!I36</f>
        <v>1292395.1381037389</v>
      </c>
      <c r="W33" s="436">
        <f t="shared" si="26"/>
        <v>14.072007751012482</v>
      </c>
      <c r="X33" s="436">
        <f t="shared" si="27"/>
        <v>198.02140214455537</v>
      </c>
      <c r="Y33" s="436">
        <f t="shared" si="28"/>
        <v>0.92557438295378469</v>
      </c>
      <c r="Z33" s="437">
        <f t="shared" si="29"/>
        <v>0.85668793838027923</v>
      </c>
      <c r="AA33" s="796">
        <f>'Brd Link'!J36</f>
        <v>6223.2490000000007</v>
      </c>
      <c r="AB33" s="436">
        <f t="shared" si="6"/>
        <v>8.7360473966242616</v>
      </c>
      <c r="AC33" s="436">
        <f t="shared" si="7"/>
        <v>76.318524116065532</v>
      </c>
      <c r="AD33" s="436">
        <f t="shared" si="30"/>
        <v>-4.4103859714344358</v>
      </c>
      <c r="AE33" s="437">
        <f t="shared" si="8"/>
        <v>19.451504417025671</v>
      </c>
      <c r="AF33" s="435">
        <f t="shared" si="9"/>
        <v>1992</v>
      </c>
      <c r="AG33" s="795">
        <f>'Brd Link'!L36</f>
        <v>102379.09477766155</v>
      </c>
      <c r="AH33" s="436">
        <f t="shared" si="10"/>
        <v>11.536437818183675</v>
      </c>
      <c r="AI33" s="436">
        <f t="shared" si="11"/>
        <v>133.08939753281851</v>
      </c>
      <c r="AJ33" s="436">
        <f t="shared" si="12"/>
        <v>-1.6099955498750225</v>
      </c>
      <c r="AK33" s="437">
        <f t="shared" si="13"/>
        <v>2.5920856706173758</v>
      </c>
      <c r="AL33" s="128"/>
      <c r="AM33" s="23">
        <v>1986</v>
      </c>
      <c r="AN33" s="442">
        <f t="shared" si="14"/>
        <v>1928337.7448308317</v>
      </c>
      <c r="AO33" s="436">
        <f t="shared" si="15"/>
        <v>14.472168917664771</v>
      </c>
      <c r="AP33" s="436">
        <f t="shared" si="16"/>
        <v>209.4436731814223</v>
      </c>
      <c r="AQ33" s="436">
        <f t="shared" si="17"/>
        <v>1.325735549606073</v>
      </c>
      <c r="AR33" s="437">
        <f t="shared" si="18"/>
        <v>1.7575747474893164</v>
      </c>
      <c r="AS33" s="774">
        <f t="shared" si="31"/>
        <v>3.7649536469389657</v>
      </c>
      <c r="AT33" s="1117">
        <f t="shared" si="32"/>
        <v>1416156.7392562649</v>
      </c>
    </row>
    <row r="34" spans="1:49">
      <c r="A34" s="405">
        <v>1987</v>
      </c>
      <c r="B34" s="129">
        <f>'Brd Link'!S37</f>
        <v>505998.99389258347</v>
      </c>
      <c r="C34" s="436">
        <f t="shared" si="19"/>
        <v>13.134289959913048</v>
      </c>
      <c r="D34" s="435">
        <f t="shared" si="0"/>
        <v>1990</v>
      </c>
      <c r="E34" s="129">
        <f>'Brd Link'!D37</f>
        <v>78805.382876538672</v>
      </c>
      <c r="F34" s="436">
        <f t="shared" si="20"/>
        <v>11.274736584128879</v>
      </c>
      <c r="G34" s="436">
        <f t="shared" si="33"/>
        <v>127.11968504149415</v>
      </c>
      <c r="H34" s="436">
        <f t="shared" si="34"/>
        <v>-1.859553375784168</v>
      </c>
      <c r="I34" s="436">
        <f t="shared" si="21"/>
        <v>3.4579387573902953</v>
      </c>
      <c r="J34" s="435">
        <f t="shared" si="1"/>
        <v>1991</v>
      </c>
      <c r="K34" s="795">
        <f>'Brd Link'!E37</f>
        <v>159648.33487453967</v>
      </c>
      <c r="L34" s="436">
        <f t="shared" si="22"/>
        <v>11.980728768239114</v>
      </c>
      <c r="M34" s="436">
        <f t="shared" si="23"/>
        <v>143.53786181811233</v>
      </c>
      <c r="N34" s="436">
        <f t="shared" si="24"/>
        <v>-1.1535611916739337</v>
      </c>
      <c r="O34" s="436">
        <f t="shared" si="25"/>
        <v>1.330703422936186</v>
      </c>
      <c r="P34" s="129">
        <f>'Brd Link'!F37</f>
        <v>229875.14425105081</v>
      </c>
      <c r="Q34" s="436">
        <f t="shared" si="2"/>
        <v>12.345291589425951</v>
      </c>
      <c r="R34" s="436">
        <f t="shared" si="3"/>
        <v>152.40622442795112</v>
      </c>
      <c r="S34" s="436">
        <f t="shared" si="35"/>
        <v>-0.78899837048709731</v>
      </c>
      <c r="T34" s="436">
        <f t="shared" si="4"/>
        <v>0.62251842863129492</v>
      </c>
      <c r="U34" s="435">
        <f t="shared" si="5"/>
        <v>1992</v>
      </c>
      <c r="V34" s="129">
        <f>'Brd Link'!I37</f>
        <v>1075295.1477904324</v>
      </c>
      <c r="W34" s="436">
        <f t="shared" si="26"/>
        <v>13.888105737944398</v>
      </c>
      <c r="X34" s="436">
        <f t="shared" si="27"/>
        <v>192.87948098832413</v>
      </c>
      <c r="Y34" s="436">
        <f t="shared" si="28"/>
        <v>0.75381577803135147</v>
      </c>
      <c r="Z34" s="437">
        <f t="shared" si="29"/>
        <v>0.56823822720901174</v>
      </c>
      <c r="AA34" s="796">
        <f>'Brd Link'!J37</f>
        <v>24623.524510714233</v>
      </c>
      <c r="AB34" s="436">
        <f t="shared" si="6"/>
        <v>10.111457545898483</v>
      </c>
      <c r="AC34" s="436">
        <f t="shared" si="7"/>
        <v>102.24157370250738</v>
      </c>
      <c r="AD34" s="436">
        <f t="shared" si="30"/>
        <v>-3.0228324140145642</v>
      </c>
      <c r="AE34" s="437">
        <f t="shared" si="8"/>
        <v>9.1375158032171182</v>
      </c>
      <c r="AF34" s="435">
        <f t="shared" si="9"/>
        <v>1993</v>
      </c>
      <c r="AG34" s="795">
        <f>'Brd Link'!L37</f>
        <v>167904.98412563567</v>
      </c>
      <c r="AH34" s="436">
        <f t="shared" si="10"/>
        <v>12.031153527709229</v>
      </c>
      <c r="AI34" s="436">
        <f t="shared" si="11"/>
        <v>144.74865520731024</v>
      </c>
      <c r="AJ34" s="436">
        <f t="shared" si="12"/>
        <v>-1.103136432203818</v>
      </c>
      <c r="AK34" s="437">
        <f t="shared" si="13"/>
        <v>1.2169099880553687</v>
      </c>
      <c r="AL34" s="128"/>
      <c r="AM34" s="23">
        <v>1987</v>
      </c>
      <c r="AN34" s="442">
        <f t="shared" si="14"/>
        <v>1736152.5184289115</v>
      </c>
      <c r="AO34" s="436">
        <f t="shared" si="15"/>
        <v>14.367182026581151</v>
      </c>
      <c r="AP34" s="436">
        <f t="shared" si="16"/>
        <v>206.41591938491646</v>
      </c>
      <c r="AQ34" s="436">
        <f t="shared" si="17"/>
        <v>1.2328920666681038</v>
      </c>
      <c r="AR34" s="437">
        <f t="shared" si="18"/>
        <v>1.5200228480531481</v>
      </c>
      <c r="AS34" s="774">
        <f t="shared" si="31"/>
        <v>3.4311382816651852</v>
      </c>
      <c r="AT34" s="1117">
        <f t="shared" si="32"/>
        <v>1230153.5245363279</v>
      </c>
    </row>
    <row r="35" spans="1:49">
      <c r="A35" s="405">
        <v>1988</v>
      </c>
      <c r="B35" s="129">
        <f>'Brd Link'!S38</f>
        <v>495779.97595582763</v>
      </c>
      <c r="C35" s="436">
        <f t="shared" si="19"/>
        <v>13.113887510425618</v>
      </c>
      <c r="D35" s="435">
        <f t="shared" si="0"/>
        <v>1991</v>
      </c>
      <c r="E35" s="129">
        <f>'Brd Link'!D38</f>
        <v>18489.281874539654</v>
      </c>
      <c r="F35" s="436">
        <f t="shared" si="20"/>
        <v>9.8249464850406518</v>
      </c>
      <c r="G35" s="436">
        <f t="shared" si="33"/>
        <v>96.52957343391266</v>
      </c>
      <c r="H35" s="436">
        <f t="shared" si="34"/>
        <v>-3.2889410253849674</v>
      </c>
      <c r="I35" s="436">
        <f t="shared" si="21"/>
        <v>10.81713306846032</v>
      </c>
      <c r="J35" s="435">
        <f t="shared" si="1"/>
        <v>1992</v>
      </c>
      <c r="K35" s="795">
        <f>'Brd Link'!E38</f>
        <v>88769.186810595143</v>
      </c>
      <c r="L35" s="436">
        <f t="shared" si="22"/>
        <v>11.393794873387254</v>
      </c>
      <c r="M35" s="436">
        <f t="shared" si="23"/>
        <v>129.81856161682566</v>
      </c>
      <c r="N35" s="436">
        <f t="shared" si="24"/>
        <v>-1.7200926370383642</v>
      </c>
      <c r="O35" s="436">
        <f t="shared" si="25"/>
        <v>2.9587186799935941</v>
      </c>
      <c r="P35" s="129">
        <f>'Brd Link'!F38</f>
        <v>237957.34811608869</v>
      </c>
      <c r="Q35" s="436">
        <f t="shared" si="2"/>
        <v>12.379846726997387</v>
      </c>
      <c r="R35" s="436">
        <f t="shared" si="3"/>
        <v>153.26060498394793</v>
      </c>
      <c r="S35" s="436">
        <f t="shared" si="35"/>
        <v>-0.73404078342823154</v>
      </c>
      <c r="T35" s="436">
        <f t="shared" si="4"/>
        <v>0.53881587173593193</v>
      </c>
      <c r="U35" s="435">
        <f t="shared" si="5"/>
        <v>1993</v>
      </c>
      <c r="V35" s="129">
        <f>'Brd Link'!I38</f>
        <v>1329979.1552080857</v>
      </c>
      <c r="W35" s="436">
        <f t="shared" si="26"/>
        <v>14.100673827299241</v>
      </c>
      <c r="X35" s="436">
        <f t="shared" si="27"/>
        <v>198.82900238388183</v>
      </c>
      <c r="Y35" s="436">
        <f t="shared" si="28"/>
        <v>0.98678631687362295</v>
      </c>
      <c r="Z35" s="437">
        <f t="shared" si="29"/>
        <v>0.97374723516901018</v>
      </c>
      <c r="AA35" s="796">
        <f>'Brd Link'!J38</f>
        <v>20190.383640854685</v>
      </c>
      <c r="AB35" s="436">
        <f t="shared" si="6"/>
        <v>9.9129617126545728</v>
      </c>
      <c r="AC35" s="436">
        <f t="shared" si="7"/>
        <v>98.266809916555488</v>
      </c>
      <c r="AD35" s="436">
        <f t="shared" si="30"/>
        <v>-3.2009257977710464</v>
      </c>
      <c r="AE35" s="437">
        <f t="shared" si="8"/>
        <v>10.245925962836209</v>
      </c>
      <c r="AF35" s="435">
        <f t="shared" si="9"/>
        <v>1994</v>
      </c>
      <c r="AG35" s="795">
        <f>'Brd Link'!L38</f>
        <v>56158.850432137238</v>
      </c>
      <c r="AH35" s="436">
        <f t="shared" si="10"/>
        <v>10.935939568976963</v>
      </c>
      <c r="AI35" s="436">
        <f t="shared" si="11"/>
        <v>119.59477425631604</v>
      </c>
      <c r="AJ35" s="436">
        <f t="shared" si="12"/>
        <v>-2.1779479414486551</v>
      </c>
      <c r="AK35" s="437">
        <f t="shared" si="13"/>
        <v>4.7434572356604345</v>
      </c>
      <c r="AL35" s="128"/>
      <c r="AM35" s="23">
        <v>1988</v>
      </c>
      <c r="AN35" s="442">
        <f t="shared" si="14"/>
        <v>1751544.206082301</v>
      </c>
      <c r="AO35" s="436">
        <f t="shared" si="15"/>
        <v>14.376008360286223</v>
      </c>
      <c r="AP35" s="436">
        <f t="shared" si="16"/>
        <v>206.66961637501936</v>
      </c>
      <c r="AQ35" s="436">
        <f t="shared" si="17"/>
        <v>1.2621208498606038</v>
      </c>
      <c r="AR35" s="437">
        <f t="shared" si="18"/>
        <v>1.5929490396528527</v>
      </c>
      <c r="AS35" s="774">
        <f t="shared" si="31"/>
        <v>3.5329063113237913</v>
      </c>
      <c r="AT35" s="1117">
        <f t="shared" si="32"/>
        <v>1255764.2301264734</v>
      </c>
    </row>
    <row r="36" spans="1:49">
      <c r="A36" s="405">
        <v>1989</v>
      </c>
      <c r="B36" s="129">
        <f>'Brd Link'!S39</f>
        <v>581067.37842492911</v>
      </c>
      <c r="C36" s="436">
        <f t="shared" si="19"/>
        <v>13.272621998860386</v>
      </c>
      <c r="D36" s="435">
        <f t="shared" si="0"/>
        <v>1992</v>
      </c>
      <c r="E36" s="129">
        <f>'Brd Link'!D39</f>
        <v>25771.508177901509</v>
      </c>
      <c r="F36" s="436">
        <f t="shared" si="20"/>
        <v>10.15702482649354</v>
      </c>
      <c r="G36" s="436">
        <f t="shared" si="33"/>
        <v>103.16515332600613</v>
      </c>
      <c r="H36" s="436">
        <f t="shared" si="34"/>
        <v>-3.1155971723668454</v>
      </c>
      <c r="I36" s="436">
        <f t="shared" si="21"/>
        <v>9.7069457404602826</v>
      </c>
      <c r="J36" s="435">
        <f t="shared" si="1"/>
        <v>1993</v>
      </c>
      <c r="K36" s="795">
        <f>'Brd Link'!E39</f>
        <v>240612.912267554</v>
      </c>
      <c r="L36" s="436">
        <f t="shared" si="22"/>
        <v>12.390944748030137</v>
      </c>
      <c r="M36" s="436">
        <f t="shared" si="23"/>
        <v>153.53551174873562</v>
      </c>
      <c r="N36" s="436">
        <f t="shared" si="24"/>
        <v>-0.88167725083024873</v>
      </c>
      <c r="O36" s="436">
        <f t="shared" si="25"/>
        <v>0.77735477463158531</v>
      </c>
      <c r="P36" s="129">
        <f>'Brd Link'!F39</f>
        <v>249913.77094685714</v>
      </c>
      <c r="Q36" s="436">
        <f t="shared" si="2"/>
        <v>12.428871221134534</v>
      </c>
      <c r="R36" s="436">
        <f t="shared" si="3"/>
        <v>154.47683983154624</v>
      </c>
      <c r="S36" s="436">
        <f t="shared" si="35"/>
        <v>-0.84375077772585116</v>
      </c>
      <c r="T36" s="436">
        <f t="shared" si="4"/>
        <v>0.71191537491297874</v>
      </c>
      <c r="U36" s="435">
        <f t="shared" si="5"/>
        <v>1994</v>
      </c>
      <c r="V36" s="129">
        <f>'Brd Link'!I39</f>
        <v>1332570.2372110838</v>
      </c>
      <c r="W36" s="436">
        <f t="shared" si="26"/>
        <v>14.102620144485565</v>
      </c>
      <c r="X36" s="436">
        <f t="shared" si="27"/>
        <v>198.88389493965005</v>
      </c>
      <c r="Y36" s="436">
        <f t="shared" si="28"/>
        <v>0.82999814562517937</v>
      </c>
      <c r="Z36" s="437">
        <f t="shared" si="29"/>
        <v>0.68889692174123651</v>
      </c>
      <c r="AA36" s="796">
        <f>'Brd Link'!J39</f>
        <v>14957.721014573575</v>
      </c>
      <c r="AB36" s="436">
        <f t="shared" si="6"/>
        <v>9.6129829013257417</v>
      </c>
      <c r="AC36" s="436">
        <f t="shared" si="7"/>
        <v>92.409440261181075</v>
      </c>
      <c r="AD36" s="436">
        <f t="shared" si="30"/>
        <v>-3.6596390975346424</v>
      </c>
      <c r="AE36" s="437">
        <f t="shared" si="8"/>
        <v>13.392958324204173</v>
      </c>
      <c r="AF36" s="435">
        <f t="shared" si="9"/>
        <v>1995</v>
      </c>
      <c r="AG36" s="795">
        <f>'Brd Link'!L39</f>
        <v>113240.98253948729</v>
      </c>
      <c r="AH36" s="436">
        <f t="shared" si="10"/>
        <v>11.637273415799703</v>
      </c>
      <c r="AI36" s="436">
        <f t="shared" si="11"/>
        <v>135.42613255407849</v>
      </c>
      <c r="AJ36" s="436">
        <f t="shared" si="12"/>
        <v>-1.6353485830606815</v>
      </c>
      <c r="AK36" s="437">
        <f t="shared" si="13"/>
        <v>2.6743649881185787</v>
      </c>
      <c r="AL36" s="127"/>
      <c r="AM36" s="23">
        <v>1989</v>
      </c>
      <c r="AN36" s="442">
        <f t="shared" si="14"/>
        <v>1977067.1321574573</v>
      </c>
      <c r="AO36" s="436">
        <f t="shared" si="15"/>
        <v>14.497125058155634</v>
      </c>
      <c r="AP36" s="436">
        <f t="shared" si="16"/>
        <v>210.16663495180399</v>
      </c>
      <c r="AQ36" s="436">
        <f t="shared" si="17"/>
        <v>1.2245030592952491</v>
      </c>
      <c r="AR36" s="437">
        <f t="shared" si="18"/>
        <v>1.4994077422234242</v>
      </c>
      <c r="AS36" s="774">
        <f t="shared" si="31"/>
        <v>3.4024748343584461</v>
      </c>
      <c r="AT36" s="1117">
        <f t="shared" si="32"/>
        <v>1395999.7537325281</v>
      </c>
    </row>
    <row r="37" spans="1:49">
      <c r="A37" s="405">
        <v>1990</v>
      </c>
      <c r="B37" s="129">
        <f>'Brd Link'!S40</f>
        <v>619668.01983819774</v>
      </c>
      <c r="C37" s="436">
        <f t="shared" si="19"/>
        <v>13.336939161741851</v>
      </c>
      <c r="D37" s="435">
        <f t="shared" si="0"/>
        <v>1993</v>
      </c>
      <c r="E37" s="129">
        <f>'Brd Link'!D40</f>
        <v>56401.76109070603</v>
      </c>
      <c r="F37" s="436">
        <f t="shared" si="20"/>
        <v>10.940255662011179</v>
      </c>
      <c r="G37" s="436">
        <f t="shared" si="33"/>
        <v>119.68919395016766</v>
      </c>
      <c r="H37" s="436">
        <f t="shared" si="34"/>
        <v>-2.3966834997306736</v>
      </c>
      <c r="I37" s="436">
        <f t="shared" si="21"/>
        <v>5.7440917978812696</v>
      </c>
      <c r="J37" s="435">
        <f t="shared" si="1"/>
        <v>1994</v>
      </c>
      <c r="K37" s="795">
        <f>'Brd Link'!E40</f>
        <v>175886.78090249607</v>
      </c>
      <c r="L37" s="436">
        <f t="shared" si="22"/>
        <v>12.077595776693562</v>
      </c>
      <c r="M37" s="436">
        <f t="shared" si="23"/>
        <v>145.86831974520615</v>
      </c>
      <c r="N37" s="436">
        <f t="shared" si="24"/>
        <v>-1.2593433850482907</v>
      </c>
      <c r="O37" s="436">
        <f t="shared" si="25"/>
        <v>1.5859457614648873</v>
      </c>
      <c r="P37" s="129">
        <f>'Brd Link'!F40</f>
        <v>210751.78888782303</v>
      </c>
      <c r="Q37" s="436">
        <f t="shared" si="2"/>
        <v>12.258436364026526</v>
      </c>
      <c r="R37" s="436">
        <f t="shared" si="3"/>
        <v>150.26926209088788</v>
      </c>
      <c r="S37" s="436">
        <f t="shared" si="35"/>
        <v>-1.0785027977153256</v>
      </c>
      <c r="T37" s="436">
        <f t="shared" si="4"/>
        <v>1.1631682846797846</v>
      </c>
      <c r="U37" s="435">
        <f t="shared" si="5"/>
        <v>1995</v>
      </c>
      <c r="V37" s="129">
        <f>'Brd Link'!I40</f>
        <v>1060308.8407004261</v>
      </c>
      <c r="W37" s="436">
        <f t="shared" si="26"/>
        <v>13.874070782802761</v>
      </c>
      <c r="X37" s="436">
        <f t="shared" si="27"/>
        <v>192.48984008622122</v>
      </c>
      <c r="Y37" s="436">
        <f t="shared" si="28"/>
        <v>0.53713162106090884</v>
      </c>
      <c r="Z37" s="437">
        <f t="shared" si="29"/>
        <v>0.28851037834351978</v>
      </c>
      <c r="AA37" s="796">
        <f>'Brd Link'!J40</f>
        <v>39127.59074684744</v>
      </c>
      <c r="AB37" s="436">
        <f t="shared" si="6"/>
        <v>10.574583142822014</v>
      </c>
      <c r="AC37" s="436">
        <f t="shared" si="7"/>
        <v>111.82180864445552</v>
      </c>
      <c r="AD37" s="436">
        <f t="shared" si="30"/>
        <v>-2.7623560189198377</v>
      </c>
      <c r="AE37" s="437">
        <f t="shared" si="8"/>
        <v>7.6306107752626549</v>
      </c>
      <c r="AF37" s="435">
        <f t="shared" si="9"/>
        <v>1996</v>
      </c>
      <c r="AG37" s="795">
        <f>'Brd Link'!L40</f>
        <v>136246.45589309841</v>
      </c>
      <c r="AH37" s="436">
        <f t="shared" si="10"/>
        <v>11.822220700393405</v>
      </c>
      <c r="AI37" s="436">
        <f t="shared" si="11"/>
        <v>139.76490228881033</v>
      </c>
      <c r="AJ37" s="436">
        <f t="shared" si="12"/>
        <v>-1.5147184613484468</v>
      </c>
      <c r="AK37" s="437">
        <f t="shared" si="13"/>
        <v>2.2943720171498061</v>
      </c>
      <c r="AL37" s="127"/>
      <c r="AM37" s="23">
        <v>1990</v>
      </c>
      <c r="AN37" s="442">
        <f t="shared" si="14"/>
        <v>1678723.2182213971</v>
      </c>
      <c r="AO37" s="436">
        <f t="shared" si="15"/>
        <v>14.333544073287351</v>
      </c>
      <c r="AP37" s="436">
        <f t="shared" si="16"/>
        <v>205.45048570087096</v>
      </c>
      <c r="AQ37" s="436">
        <f t="shared" si="17"/>
        <v>0.99660491154550024</v>
      </c>
      <c r="AR37" s="437">
        <f t="shared" si="18"/>
        <v>0.99322134971661435</v>
      </c>
      <c r="AS37" s="774">
        <f t="shared" si="31"/>
        <v>2.7090686698011792</v>
      </c>
      <c r="AT37" s="1117">
        <f t="shared" si="32"/>
        <v>1059055.1983831995</v>
      </c>
      <c r="AV37" t="s">
        <v>411</v>
      </c>
      <c r="AW37" t="s">
        <v>412</v>
      </c>
    </row>
    <row r="38" spans="1:49">
      <c r="A38" s="405">
        <v>1991</v>
      </c>
      <c r="B38" s="129">
        <f>'Brd Link'!S41</f>
        <v>567389.92208594619</v>
      </c>
      <c r="C38" s="436">
        <f t="shared" si="19"/>
        <v>13.248802039630496</v>
      </c>
      <c r="D38" s="435">
        <f t="shared" si="0"/>
        <v>1994</v>
      </c>
      <c r="E38" s="129">
        <f>'Brd Link'!D41</f>
        <v>58109.358039408347</v>
      </c>
      <c r="F38" s="436">
        <f t="shared" si="20"/>
        <v>10.970081997673907</v>
      </c>
      <c r="G38" s="436">
        <f t="shared" si="33"/>
        <v>120.34269903568912</v>
      </c>
      <c r="H38" s="436">
        <f t="shared" si="34"/>
        <v>-2.2787200419565896</v>
      </c>
      <c r="I38" s="436">
        <f t="shared" si="21"/>
        <v>5.1925650296146415</v>
      </c>
      <c r="J38" s="435">
        <f t="shared" si="1"/>
        <v>1995</v>
      </c>
      <c r="K38" s="795">
        <f>'Brd Link'!E41</f>
        <v>93387.974354544465</v>
      </c>
      <c r="L38" s="436">
        <f t="shared" si="22"/>
        <v>11.444517861693397</v>
      </c>
      <c r="M38" s="436">
        <f t="shared" si="23"/>
        <v>130.9769890866192</v>
      </c>
      <c r="N38" s="436">
        <f t="shared" si="24"/>
        <v>-1.8042841779370995</v>
      </c>
      <c r="O38" s="436">
        <f t="shared" si="25"/>
        <v>3.2554413947541549</v>
      </c>
      <c r="P38" s="129">
        <f>'Brd Link'!F41</f>
        <v>443740.93051869422</v>
      </c>
      <c r="Q38" s="436">
        <f t="shared" si="2"/>
        <v>13.002996181295167</v>
      </c>
      <c r="R38" s="436">
        <f t="shared" si="3"/>
        <v>169.07790969077669</v>
      </c>
      <c r="S38" s="436">
        <f t="shared" si="35"/>
        <v>-0.24580585833532928</v>
      </c>
      <c r="T38" s="436">
        <f t="shared" si="4"/>
        <v>6.0420519991967965E-2</v>
      </c>
      <c r="U38" s="435">
        <f t="shared" si="5"/>
        <v>1996</v>
      </c>
      <c r="V38" s="129">
        <f>'Brd Link'!I41</f>
        <v>1989184.4640360922</v>
      </c>
      <c r="W38" s="436">
        <f t="shared" si="26"/>
        <v>14.50323529563542</v>
      </c>
      <c r="X38" s="436">
        <f t="shared" si="27"/>
        <v>210.34383404056504</v>
      </c>
      <c r="Y38" s="436">
        <f t="shared" si="28"/>
        <v>1.2544332560049241</v>
      </c>
      <c r="Z38" s="437">
        <f t="shared" si="29"/>
        <v>1.5736027937711154</v>
      </c>
      <c r="AA38" s="796">
        <f>'Brd Link'!J41</f>
        <v>53524.136196909734</v>
      </c>
      <c r="AB38" s="436">
        <f t="shared" si="6"/>
        <v>10.887887975016772</v>
      </c>
      <c r="AC38" s="436">
        <f t="shared" si="7"/>
        <v>118.54610455651483</v>
      </c>
      <c r="AD38" s="436">
        <f t="shared" si="30"/>
        <v>-2.3609140646137243</v>
      </c>
      <c r="AE38" s="437">
        <f t="shared" si="8"/>
        <v>5.573915220490897</v>
      </c>
      <c r="AF38" s="435">
        <f t="shared" si="9"/>
        <v>1997</v>
      </c>
      <c r="AG38" s="795">
        <f>'Brd Link'!L41</f>
        <v>271330.44131966069</v>
      </c>
      <c r="AH38" s="436">
        <f t="shared" si="10"/>
        <v>12.511092697732716</v>
      </c>
      <c r="AI38" s="436">
        <f t="shared" si="11"/>
        <v>156.52744049126088</v>
      </c>
      <c r="AJ38" s="436">
        <f t="shared" si="12"/>
        <v>-0.73770934189778015</v>
      </c>
      <c r="AK38" s="437">
        <f t="shared" si="13"/>
        <v>0.5442150731232559</v>
      </c>
      <c r="AL38" s="47"/>
      <c r="AM38" s="23">
        <v>1991</v>
      </c>
      <c r="AN38" s="442">
        <f t="shared" si="14"/>
        <v>2909277.3044653102</v>
      </c>
      <c r="AO38" s="436">
        <f t="shared" si="15"/>
        <v>14.883415259322968</v>
      </c>
      <c r="AP38" s="436">
        <f t="shared" si="16"/>
        <v>221.51604978144778</v>
      </c>
      <c r="AQ38" s="436">
        <f t="shared" si="17"/>
        <v>1.6346132196924708</v>
      </c>
      <c r="AR38" s="437">
        <f t="shared" si="18"/>
        <v>2.6719603779933858</v>
      </c>
      <c r="AS38" s="774">
        <f t="shared" si="31"/>
        <v>5.1274744073170604</v>
      </c>
      <c r="AT38" s="1117">
        <f t="shared" si="32"/>
        <v>2341887.3823793642</v>
      </c>
      <c r="AW38" t="s">
        <v>413</v>
      </c>
    </row>
    <row r="39" spans="1:49">
      <c r="A39" s="405">
        <v>1992</v>
      </c>
      <c r="B39" s="129">
        <f>'Brd Link'!S42</f>
        <v>558331.04056437232</v>
      </c>
      <c r="C39" s="436">
        <f t="shared" si="19"/>
        <v>13.232707328112893</v>
      </c>
      <c r="D39" s="435">
        <f t="shared" si="0"/>
        <v>1995</v>
      </c>
      <c r="E39" s="129">
        <f>'Brd Link'!D42</f>
        <v>32579.47741440657</v>
      </c>
      <c r="F39" s="436">
        <f t="shared" si="20"/>
        <v>10.39143784195393</v>
      </c>
      <c r="G39" s="436">
        <f t="shared" si="33"/>
        <v>107.98198042319216</v>
      </c>
      <c r="H39" s="436">
        <f t="shared" si="34"/>
        <v>-2.8412694861589625</v>
      </c>
      <c r="I39" s="436">
        <f t="shared" si="21"/>
        <v>8.0728122929780142</v>
      </c>
      <c r="J39" s="435">
        <f t="shared" si="1"/>
        <v>1996</v>
      </c>
      <c r="K39" s="795">
        <f>'Brd Link'!E42</f>
        <v>112579.81465782334</v>
      </c>
      <c r="L39" s="436">
        <f t="shared" si="22"/>
        <v>11.63141771270136</v>
      </c>
      <c r="M39" s="436">
        <f t="shared" si="23"/>
        <v>135.28987800734294</v>
      </c>
      <c r="N39" s="436">
        <f t="shared" si="24"/>
        <v>-1.6012896154115315</v>
      </c>
      <c r="O39" s="436">
        <f t="shared" si="25"/>
        <v>2.5641284324248104</v>
      </c>
      <c r="P39" s="129">
        <f>'Brd Link'!F42</f>
        <v>505425.03393203206</v>
      </c>
      <c r="Q39" s="436">
        <f t="shared" si="2"/>
        <v>13.133155005618168</v>
      </c>
      <c r="R39" s="436">
        <f t="shared" si="3"/>
        <v>172.47976040159352</v>
      </c>
      <c r="S39" s="436">
        <f t="shared" si="35"/>
        <v>-9.9552322494724579E-2</v>
      </c>
      <c r="T39" s="436">
        <f t="shared" si="4"/>
        <v>9.9106649140936458E-3</v>
      </c>
      <c r="U39" s="435">
        <f t="shared" si="5"/>
        <v>1997</v>
      </c>
      <c r="V39" s="129">
        <f>'Brd Link'!I42</f>
        <v>2415249.6642813412</v>
      </c>
      <c r="W39" s="436">
        <f t="shared" si="26"/>
        <v>14.697313220380199</v>
      </c>
      <c r="X39" s="436">
        <f t="shared" si="27"/>
        <v>216.01101589796258</v>
      </c>
      <c r="Y39" s="436">
        <f t="shared" si="28"/>
        <v>1.464605892267306</v>
      </c>
      <c r="Z39" s="437">
        <f t="shared" si="29"/>
        <v>2.1450704196641115</v>
      </c>
      <c r="AA39" s="796">
        <f>'Brd Link'!J42</f>
        <v>26864.069337716079</v>
      </c>
      <c r="AB39" s="436">
        <f t="shared" si="6"/>
        <v>10.198544960378467</v>
      </c>
      <c r="AC39" s="436">
        <f t="shared" si="7"/>
        <v>104.01031930886101</v>
      </c>
      <c r="AD39" s="436">
        <f t="shared" si="30"/>
        <v>-3.0341623677344254</v>
      </c>
      <c r="AE39" s="437">
        <f t="shared" si="8"/>
        <v>9.2061412737757742</v>
      </c>
      <c r="AF39" s="435">
        <f t="shared" si="9"/>
        <v>1998</v>
      </c>
      <c r="AG39" s="795">
        <f>'Brd Link'!L42</f>
        <v>77133.584539687814</v>
      </c>
      <c r="AH39" s="436">
        <f t="shared" si="10"/>
        <v>11.253294061849042</v>
      </c>
      <c r="AI39" s="436">
        <f t="shared" si="11"/>
        <v>126.63662724244691</v>
      </c>
      <c r="AJ39" s="436">
        <f t="shared" ref="AJ39:AJ44" si="36">LN(AG39/$B39)</f>
        <v>-1.9794132662638511</v>
      </c>
      <c r="AK39" s="437">
        <f t="shared" si="13"/>
        <v>3.9180768786613274</v>
      </c>
      <c r="AL39" s="47"/>
      <c r="AM39" s="23">
        <v>1992</v>
      </c>
      <c r="AN39" s="442">
        <f t="shared" si="14"/>
        <v>3169831.6441630069</v>
      </c>
      <c r="AO39" s="436">
        <f t="shared" si="15"/>
        <v>14.969189035346282</v>
      </c>
      <c r="AP39" s="436">
        <f t="shared" si="16"/>
        <v>224.07662037593136</v>
      </c>
      <c r="AQ39" s="436">
        <f t="shared" ref="AQ39:AQ44" si="37">LN(AN39/$B39)</f>
        <v>1.7364817072333898</v>
      </c>
      <c r="AR39" s="437">
        <f t="shared" si="18"/>
        <v>3.015368719556188</v>
      </c>
      <c r="AS39" s="774">
        <f t="shared" si="31"/>
        <v>5.6773337211538104</v>
      </c>
      <c r="AT39" s="1117">
        <f t="shared" si="32"/>
        <v>2611500.6035986347</v>
      </c>
      <c r="AW39" t="s">
        <v>414</v>
      </c>
    </row>
    <row r="40" spans="1:49">
      <c r="A40" s="405">
        <v>1993</v>
      </c>
      <c r="B40" s="129">
        <f>'Brd Link'!S43</f>
        <v>652721.10807092034</v>
      </c>
      <c r="C40" s="436">
        <f t="shared" si="19"/>
        <v>13.388905223721844</v>
      </c>
      <c r="D40" s="435">
        <f t="shared" si="0"/>
        <v>1996</v>
      </c>
      <c r="E40" s="129">
        <f>'Brd Link'!D43</f>
        <v>16460.431926757403</v>
      </c>
      <c r="F40" s="436">
        <f t="shared" si="20"/>
        <v>9.7087147148805393</v>
      </c>
      <c r="G40" s="436">
        <f t="shared" si="33"/>
        <v>94.259141414937915</v>
      </c>
      <c r="H40" s="436">
        <f t="shared" si="34"/>
        <v>-3.6801905088413056</v>
      </c>
      <c r="I40" s="436">
        <f t="shared" si="21"/>
        <v>13.543802181365628</v>
      </c>
      <c r="J40" s="435">
        <f t="shared" si="1"/>
        <v>1997</v>
      </c>
      <c r="K40" s="795">
        <f>'Brd Link'!E43</f>
        <v>802613.36083504581</v>
      </c>
      <c r="L40" s="436">
        <f t="shared" si="22"/>
        <v>13.595628383617642</v>
      </c>
      <c r="M40" s="436">
        <f t="shared" si="23"/>
        <v>184.84111114542966</v>
      </c>
      <c r="N40" s="436">
        <f t="shared" si="24"/>
        <v>0.20672315989579845</v>
      </c>
      <c r="O40" s="436">
        <f t="shared" si="25"/>
        <v>4.2734464837303851E-2</v>
      </c>
      <c r="P40" s="129">
        <f>'Brd Link'!F43</f>
        <v>247453.35635972215</v>
      </c>
      <c r="Q40" s="436">
        <f t="shared" si="2"/>
        <v>12.418977384077587</v>
      </c>
      <c r="R40" s="436">
        <f t="shared" si="3"/>
        <v>154.23099926623058</v>
      </c>
      <c r="S40" s="436">
        <f t="shared" si="35"/>
        <v>-0.96992783964425766</v>
      </c>
      <c r="T40" s="436">
        <f t="shared" si="4"/>
        <v>0.94076001411697685</v>
      </c>
      <c r="U40" s="435">
        <f t="shared" si="5"/>
        <v>1998</v>
      </c>
      <c r="V40" s="129">
        <f>'Brd Link'!I43</f>
        <v>1112912.7648551823</v>
      </c>
      <c r="W40" s="436">
        <f t="shared" si="26"/>
        <v>13.922491248798858</v>
      </c>
      <c r="X40" s="436">
        <f t="shared" si="27"/>
        <v>193.83576257288078</v>
      </c>
      <c r="Y40" s="436">
        <f t="shared" si="28"/>
        <v>0.53358602507701336</v>
      </c>
      <c r="Z40" s="437">
        <f t="shared" si="29"/>
        <v>0.28471404615748713</v>
      </c>
      <c r="AA40" s="796">
        <f>'Brd Link'!J43</f>
        <v>19013.145383823394</v>
      </c>
      <c r="AB40" s="436">
        <f t="shared" si="6"/>
        <v>9.8528858812286817</v>
      </c>
      <c r="AC40" s="436">
        <f t="shared" si="7"/>
        <v>97.079360188515494</v>
      </c>
      <c r="AD40" s="436">
        <f t="shared" si="30"/>
        <v>-3.5360193424931632</v>
      </c>
      <c r="AE40" s="437">
        <f t="shared" si="8"/>
        <v>12.503432790485782</v>
      </c>
      <c r="AF40" s="435">
        <f t="shared" si="9"/>
        <v>1999</v>
      </c>
      <c r="AG40" s="795">
        <f>'Brd Link'!L43</f>
        <v>69316.71512995282</v>
      </c>
      <c r="AH40" s="436">
        <f t="shared" si="10"/>
        <v>11.146441355660475</v>
      </c>
      <c r="AI40" s="436">
        <f t="shared" si="11"/>
        <v>124.24315489517812</v>
      </c>
      <c r="AJ40" s="436">
        <f t="shared" si="36"/>
        <v>-2.2424638680613698</v>
      </c>
      <c r="AK40" s="437">
        <f t="shared" si="13"/>
        <v>5.0286441995607607</v>
      </c>
      <c r="AL40" s="47"/>
      <c r="AM40" s="23">
        <v>1993</v>
      </c>
      <c r="AN40" s="442">
        <f>AG40+AA40+V40+P40+K40+E40</f>
        <v>2267769.774490484</v>
      </c>
      <c r="AO40" s="436">
        <f t="shared" si="15"/>
        <v>14.634307428311507</v>
      </c>
      <c r="AP40" s="436">
        <f t="shared" si="16"/>
        <v>214.16295390633334</v>
      </c>
      <c r="AQ40" s="436">
        <f t="shared" si="37"/>
        <v>1.2454022045896616</v>
      </c>
      <c r="AR40" s="437">
        <f t="shared" si="18"/>
        <v>1.5510266511967892</v>
      </c>
      <c r="AS40" s="774">
        <f t="shared" si="31"/>
        <v>3.474331910596161</v>
      </c>
      <c r="AT40" s="1117">
        <f t="shared" si="32"/>
        <v>1615048.6664195638</v>
      </c>
      <c r="AW40" t="s">
        <v>415</v>
      </c>
    </row>
    <row r="41" spans="1:49">
      <c r="A41" s="405">
        <v>1994</v>
      </c>
      <c r="B41" s="129">
        <f>'Brd Link'!S44</f>
        <v>614989.28339619539</v>
      </c>
      <c r="C41" s="436">
        <f t="shared" si="19"/>
        <v>13.329360121264791</v>
      </c>
      <c r="D41" s="435">
        <f t="shared" si="0"/>
        <v>1997</v>
      </c>
      <c r="E41" s="129">
        <f>'Brd Link'!D44</f>
        <v>147971.67340866121</v>
      </c>
      <c r="F41" s="436">
        <f t="shared" si="20"/>
        <v>11.904776138540297</v>
      </c>
      <c r="G41" s="436">
        <f t="shared" si="33"/>
        <v>141.72369490875843</v>
      </c>
      <c r="H41" s="436">
        <f t="shared" si="34"/>
        <v>-1.4245839827244937</v>
      </c>
      <c r="I41" s="436">
        <f t="shared" si="21"/>
        <v>2.0294395238351806</v>
      </c>
      <c r="J41" s="435">
        <f t="shared" si="1"/>
        <v>1998</v>
      </c>
      <c r="K41" s="795">
        <f>'Brd Link'!E44</f>
        <v>112668.45951798014</v>
      </c>
      <c r="L41" s="436">
        <f t="shared" si="22"/>
        <v>11.632204798551918</v>
      </c>
      <c r="M41" s="436">
        <f t="shared" si="23"/>
        <v>135.30818847545427</v>
      </c>
      <c r="N41" s="436">
        <f t="shared" si="24"/>
        <v>-1.6971553227128733</v>
      </c>
      <c r="O41" s="436">
        <f t="shared" si="25"/>
        <v>2.8803361894126369</v>
      </c>
      <c r="P41" s="129">
        <f>'Brd Link'!F44</f>
        <v>271467.29571051238</v>
      </c>
      <c r="Q41" s="436">
        <f t="shared" si="2"/>
        <v>12.511596953312337</v>
      </c>
      <c r="R41" s="436">
        <f t="shared" si="3"/>
        <v>156.54005832213454</v>
      </c>
      <c r="S41" s="436">
        <f t="shared" si="35"/>
        <v>-0.81776316795245418</v>
      </c>
      <c r="T41" s="436">
        <f t="shared" si="4"/>
        <v>0.66873659885963377</v>
      </c>
      <c r="U41" s="435">
        <f t="shared" si="5"/>
        <v>1999</v>
      </c>
      <c r="V41" s="129">
        <f>'Brd Link'!I44</f>
        <v>1216630.2738301605</v>
      </c>
      <c r="W41" s="436">
        <f t="shared" si="26"/>
        <v>14.011595524522779</v>
      </c>
      <c r="X41" s="436">
        <f t="shared" si="27"/>
        <v>196.32480914282675</v>
      </c>
      <c r="Y41" s="436">
        <f t="shared" si="28"/>
        <v>0.68223540325798682</v>
      </c>
      <c r="Z41" s="437">
        <f t="shared" si="29"/>
        <v>0.46544514545858789</v>
      </c>
      <c r="AA41" s="796">
        <f>'Brd Link'!J44</f>
        <v>34901.570572334043</v>
      </c>
      <c r="AB41" s="436">
        <f t="shared" si="6"/>
        <v>10.460287109250565</v>
      </c>
      <c r="AC41" s="436">
        <f t="shared" si="7"/>
        <v>109.41760640795354</v>
      </c>
      <c r="AD41" s="436">
        <f t="shared" si="30"/>
        <v>-2.8690730120142272</v>
      </c>
      <c r="AE41" s="437">
        <f t="shared" si="8"/>
        <v>8.23157994826839</v>
      </c>
      <c r="AF41" s="435">
        <f t="shared" si="9"/>
        <v>2000</v>
      </c>
      <c r="AG41" s="795">
        <f>'Brd Link'!L44</f>
        <v>89500.51969014018</v>
      </c>
      <c r="AH41" s="436">
        <f t="shared" si="10"/>
        <v>11.401999710839833</v>
      </c>
      <c r="AI41" s="436">
        <f t="shared" si="11"/>
        <v>130.00559740599164</v>
      </c>
      <c r="AJ41" s="436">
        <f t="shared" si="36"/>
        <v>-1.927360410424958</v>
      </c>
      <c r="AK41" s="437">
        <f t="shared" si="13"/>
        <v>3.7147181516734626</v>
      </c>
      <c r="AL41" s="47"/>
      <c r="AM41" s="23">
        <v>1994</v>
      </c>
      <c r="AN41" s="442">
        <f t="shared" si="14"/>
        <v>1873139.7927297887</v>
      </c>
      <c r="AO41" s="436">
        <f t="shared" si="15"/>
        <v>14.443126614375121</v>
      </c>
      <c r="AP41" s="436">
        <f t="shared" si="16"/>
        <v>208.60390639887095</v>
      </c>
      <c r="AQ41" s="436">
        <f t="shared" si="37"/>
        <v>1.1137664931103299</v>
      </c>
      <c r="AR41" s="437">
        <f t="shared" si="18"/>
        <v>1.2404758011752826</v>
      </c>
      <c r="AS41" s="774">
        <f t="shared" si="31"/>
        <v>3.0458088348883523</v>
      </c>
      <c r="AT41" s="1117">
        <f t="shared" si="32"/>
        <v>1258150.5093335933</v>
      </c>
    </row>
    <row r="42" spans="1:49">
      <c r="A42" s="405">
        <v>1995</v>
      </c>
      <c r="B42" s="129">
        <f>'Brd Link'!S45</f>
        <v>528715.42146727804</v>
      </c>
      <c r="C42" s="436">
        <f t="shared" si="19"/>
        <v>13.178205610451972</v>
      </c>
      <c r="D42" s="435">
        <f t="shared" si="0"/>
        <v>1998</v>
      </c>
      <c r="E42" s="129">
        <f>'Brd Link'!D45</f>
        <v>29946.499677603377</v>
      </c>
      <c r="F42" s="436">
        <f t="shared" si="20"/>
        <v>10.307167724513286</v>
      </c>
      <c r="G42" s="436">
        <f t="shared" si="33"/>
        <v>106.2377065012484</v>
      </c>
      <c r="H42" s="436">
        <f t="shared" si="34"/>
        <v>-2.8710378859386845</v>
      </c>
      <c r="I42" s="436">
        <f t="shared" si="21"/>
        <v>8.2428585424952701</v>
      </c>
      <c r="J42" s="435">
        <f t="shared" si="1"/>
        <v>1999</v>
      </c>
      <c r="K42" s="795">
        <f>'Brd Link'!E45</f>
        <v>101731.50132165727</v>
      </c>
      <c r="L42" s="436">
        <f t="shared" si="22"/>
        <v>11.530092281583716</v>
      </c>
      <c r="M42" s="436">
        <f t="shared" si="23"/>
        <v>132.9430280218364</v>
      </c>
      <c r="N42" s="436">
        <f t="shared" si="24"/>
        <v>-1.6481133288682546</v>
      </c>
      <c r="O42" s="436">
        <f t="shared" si="25"/>
        <v>2.7162775447931993</v>
      </c>
      <c r="P42" s="129">
        <f>'Brd Link'!F45</f>
        <v>219305.37513567525</v>
      </c>
      <c r="Q42" s="436">
        <f t="shared" si="2"/>
        <v>12.2982204445282</v>
      </c>
      <c r="R42" s="436">
        <f t="shared" si="3"/>
        <v>151.24622610221138</v>
      </c>
      <c r="S42" s="436">
        <f t="shared" si="35"/>
        <v>-0.8799851659237713</v>
      </c>
      <c r="T42" s="436">
        <f t="shared" si="4"/>
        <v>0.77437389224588726</v>
      </c>
      <c r="U42" s="435">
        <f t="shared" si="5"/>
        <v>2000</v>
      </c>
      <c r="V42" s="129">
        <f>'Brd Link'!I45</f>
        <v>929769.82433363562</v>
      </c>
      <c r="W42" s="436">
        <f t="shared" si="26"/>
        <v>13.74269233377956</v>
      </c>
      <c r="X42" s="436">
        <f t="shared" si="27"/>
        <v>188.86159258092349</v>
      </c>
      <c r="Y42" s="436">
        <f t="shared" si="28"/>
        <v>0.56448672332758976</v>
      </c>
      <c r="Z42" s="437">
        <f t="shared" si="29"/>
        <v>0.31864526081311889</v>
      </c>
      <c r="AA42" s="796">
        <f>'Brd Link'!J45</f>
        <v>8999.5141323048283</v>
      </c>
      <c r="AB42" s="436">
        <f t="shared" si="6"/>
        <v>9.1049258695616349</v>
      </c>
      <c r="AC42" s="436">
        <f t="shared" si="7"/>
        <v>82.899675090212696</v>
      </c>
      <c r="AD42" s="436">
        <f t="shared" si="30"/>
        <v>-4.073279740890337</v>
      </c>
      <c r="AE42" s="437">
        <f t="shared" si="8"/>
        <v>16.59160784754765</v>
      </c>
      <c r="AF42" s="435">
        <f t="shared" si="9"/>
        <v>2001</v>
      </c>
      <c r="AG42" s="921">
        <f>'Brd Link'!L45</f>
        <v>59923.799229661214</v>
      </c>
      <c r="AH42" s="436">
        <f t="shared" si="10"/>
        <v>11.000829021215486</v>
      </c>
      <c r="AI42" s="436">
        <f t="shared" si="11"/>
        <v>121.01823915401687</v>
      </c>
      <c r="AJ42" s="436">
        <f t="shared" si="36"/>
        <v>-2.1773765892364847</v>
      </c>
      <c r="AK42" s="437">
        <f t="shared" si="13"/>
        <v>4.7409688113551072</v>
      </c>
      <c r="AL42" s="47"/>
      <c r="AM42" s="23">
        <v>1995</v>
      </c>
      <c r="AN42" s="442">
        <f t="shared" si="14"/>
        <v>1349676.5138305377</v>
      </c>
      <c r="AO42" s="436">
        <f t="shared" si="15"/>
        <v>14.115375502316514</v>
      </c>
      <c r="AP42" s="436">
        <f t="shared" si="16"/>
        <v>199.24382557139717</v>
      </c>
      <c r="AQ42" s="436">
        <f t="shared" si="37"/>
        <v>0.93716989186454247</v>
      </c>
      <c r="AR42" s="437">
        <f t="shared" si="18"/>
        <v>0.8782874062173982</v>
      </c>
      <c r="AS42" s="774">
        <f t="shared" si="31"/>
        <v>2.5527466365269782</v>
      </c>
      <c r="AT42" s="1117">
        <f t="shared" si="32"/>
        <v>820961.09236325964</v>
      </c>
    </row>
    <row r="43" spans="1:49">
      <c r="A43" s="405">
        <v>1996</v>
      </c>
      <c r="B43" s="129">
        <f>'Brd Link'!S46</f>
        <v>674836.32951188635</v>
      </c>
      <c r="C43" s="436">
        <f t="shared" si="19"/>
        <v>13.422225465655695</v>
      </c>
      <c r="D43" s="435">
        <f t="shared" si="0"/>
        <v>1999</v>
      </c>
      <c r="E43" s="129">
        <f>'Brd Link'!D46</f>
        <v>12697.780914796174</v>
      </c>
      <c r="F43" s="436">
        <f t="shared" si="20"/>
        <v>9.4491825260610103</v>
      </c>
      <c r="G43" s="436">
        <f t="shared" si="33"/>
        <v>89.287050410816732</v>
      </c>
      <c r="H43" s="436">
        <f t="shared" si="34"/>
        <v>-3.9730429395946842</v>
      </c>
      <c r="I43" s="436">
        <f t="shared" si="21"/>
        <v>15.785070199863171</v>
      </c>
      <c r="J43" s="435">
        <f t="shared" si="1"/>
        <v>2000</v>
      </c>
      <c r="K43" s="795">
        <f>'Brd Link'!E46</f>
        <v>66093.124069894606</v>
      </c>
      <c r="L43" s="436">
        <f t="shared" si="22"/>
        <v>11.098819997280653</v>
      </c>
      <c r="M43" s="436">
        <f t="shared" si="23"/>
        <v>123.18380533203693</v>
      </c>
      <c r="N43" s="436">
        <f t="shared" si="24"/>
        <v>-2.323405468375042</v>
      </c>
      <c r="O43" s="436">
        <f t="shared" si="25"/>
        <v>5.3982129704750488</v>
      </c>
      <c r="P43" s="129">
        <f>'Brd Link'!F46</f>
        <v>76308.890082196463</v>
      </c>
      <c r="Q43" s="436">
        <f t="shared" si="2"/>
        <v>11.24254472532397</v>
      </c>
      <c r="R43" s="436">
        <f t="shared" si="3"/>
        <v>126.39481190090983</v>
      </c>
      <c r="S43" s="436">
        <f t="shared" si="35"/>
        <v>-2.1796807403317255</v>
      </c>
      <c r="T43" s="436">
        <f t="shared" si="4"/>
        <v>4.7510081297730595</v>
      </c>
      <c r="U43" s="435">
        <f t="shared" si="5"/>
        <v>2001</v>
      </c>
      <c r="V43" s="129">
        <f>'Brd Link'!I46</f>
        <v>1671044.5816115239</v>
      </c>
      <c r="W43" s="436">
        <f t="shared" si="26"/>
        <v>14.32895948682159</v>
      </c>
      <c r="X43" s="436">
        <f t="shared" si="27"/>
        <v>205.31907997497444</v>
      </c>
      <c r="Y43" s="436">
        <f t="shared" si="28"/>
        <v>0.90673402116589608</v>
      </c>
      <c r="Z43" s="437">
        <f t="shared" si="29"/>
        <v>0.82216658513967567</v>
      </c>
      <c r="AA43" s="796">
        <f>'Brd Link'!J46</f>
        <v>7578.3818475354037</v>
      </c>
      <c r="AB43" s="436">
        <f t="shared" si="6"/>
        <v>8.933054979268606</v>
      </c>
      <c r="AC43" s="436">
        <f t="shared" si="7"/>
        <v>79.799471262635635</v>
      </c>
      <c r="AD43" s="436">
        <f t="shared" si="30"/>
        <v>-4.4891704863870885</v>
      </c>
      <c r="AE43" s="437">
        <f t="shared" si="8"/>
        <v>20.152651655848889</v>
      </c>
      <c r="AF43" s="435">
        <f t="shared" ref="AF43:AF49" si="38">A43+6</f>
        <v>2002</v>
      </c>
      <c r="AG43" s="795">
        <f>'Brd Link'!L46</f>
        <v>68975.106658855279</v>
      </c>
      <c r="AH43" s="436">
        <f t="shared" si="10"/>
        <v>11.14150094542507</v>
      </c>
      <c r="AI43" s="436">
        <f t="shared" si="11"/>
        <v>124.13304331690773</v>
      </c>
      <c r="AJ43" s="436">
        <f t="shared" si="36"/>
        <v>-2.2807245202306241</v>
      </c>
      <c r="AK43" s="437">
        <f t="shared" si="13"/>
        <v>5.2017043371812104</v>
      </c>
      <c r="AL43" s="47"/>
      <c r="AM43" s="23">
        <v>1996</v>
      </c>
      <c r="AN43" s="442">
        <f t="shared" si="14"/>
        <v>1902697.8651848021</v>
      </c>
      <c r="AO43" s="436">
        <f t="shared" si="15"/>
        <v>14.458783366035327</v>
      </c>
      <c r="AP43" s="436">
        <f t="shared" si="16"/>
        <v>209.05641642593986</v>
      </c>
      <c r="AQ43" s="436">
        <f t="shared" si="37"/>
        <v>1.0365579003796319</v>
      </c>
      <c r="AR43" s="437">
        <f t="shared" si="18"/>
        <v>1.074452280839431</v>
      </c>
      <c r="AS43" s="774">
        <f t="shared" si="31"/>
        <v>2.8194953086788264</v>
      </c>
      <c r="AT43" s="1117">
        <f t="shared" si="32"/>
        <v>1227861.5356729156</v>
      </c>
    </row>
    <row r="44" spans="1:49">
      <c r="A44" s="405">
        <v>1997</v>
      </c>
      <c r="B44" s="129">
        <f>'Brd Link'!S47</f>
        <v>900332.70692073856</v>
      </c>
      <c r="C44" s="436">
        <f t="shared" si="19"/>
        <v>13.710519648350095</v>
      </c>
      <c r="D44" s="435">
        <f t="shared" si="0"/>
        <v>2000</v>
      </c>
      <c r="E44" s="129">
        <f>'Brd Link'!D47</f>
        <v>8279.8174606620651</v>
      </c>
      <c r="F44" s="436">
        <f t="shared" si="20"/>
        <v>9.0215762013225334</v>
      </c>
      <c r="G44" s="436">
        <f t="shared" si="33"/>
        <v>81.388837156269105</v>
      </c>
      <c r="H44" s="436">
        <f t="shared" si="34"/>
        <v>-4.6889434470275617</v>
      </c>
      <c r="I44" s="436">
        <f t="shared" si="21"/>
        <v>21.986190649422714</v>
      </c>
      <c r="J44" s="435">
        <f t="shared" si="1"/>
        <v>2001</v>
      </c>
      <c r="K44" s="795">
        <f>'Brd Link'!E47</f>
        <v>160819.07519867778</v>
      </c>
      <c r="L44" s="436">
        <f t="shared" si="22"/>
        <v>11.988035255548843</v>
      </c>
      <c r="M44" s="436">
        <f t="shared" si="23"/>
        <v>143.71298928828199</v>
      </c>
      <c r="N44" s="436">
        <f t="shared" si="24"/>
        <v>-1.7224843928012517</v>
      </c>
      <c r="O44" s="436">
        <f t="shared" si="25"/>
        <v>2.9669524834438965</v>
      </c>
      <c r="P44" s="129">
        <f>'Brd Link'!F47</f>
        <v>100643.96414584623</v>
      </c>
      <c r="Q44" s="436">
        <f t="shared" si="2"/>
        <v>11.519344460525044</v>
      </c>
      <c r="R44" s="436">
        <f t="shared" si="3"/>
        <v>132.69529680022902</v>
      </c>
      <c r="S44" s="436">
        <f t="shared" si="35"/>
        <v>-2.1911751878250509</v>
      </c>
      <c r="T44" s="436">
        <f t="shared" si="4"/>
        <v>4.8012487037401472</v>
      </c>
      <c r="U44" s="435">
        <f t="shared" ref="U44:U50" si="39">A44+5</f>
        <v>2002</v>
      </c>
      <c r="V44" s="129">
        <f>'Brd Link'!I47</f>
        <v>1250886.8726059287</v>
      </c>
      <c r="W44" s="436">
        <f t="shared" si="26"/>
        <v>14.039363355788447</v>
      </c>
      <c r="X44" s="436">
        <f t="shared" si="27"/>
        <v>197.10372343585544</v>
      </c>
      <c r="Y44" s="436">
        <f t="shared" ref="Y44:Y49" si="40">LN(V44/$B44)</f>
        <v>0.32884370743835395</v>
      </c>
      <c r="Z44" s="437">
        <f t="shared" si="29"/>
        <v>0.10813818392180173</v>
      </c>
      <c r="AA44" s="796">
        <f>'Brd Link'!J47</f>
        <v>11107.647851674847</v>
      </c>
      <c r="AB44" s="436">
        <f t="shared" si="6"/>
        <v>9.3153891456982763</v>
      </c>
      <c r="AC44" s="436">
        <f t="shared" si="7"/>
        <v>86.77647493579326</v>
      </c>
      <c r="AD44" s="436">
        <f t="shared" ref="AD44:AD49" si="41">LN(AA44/$B44)</f>
        <v>-4.395130502651817</v>
      </c>
      <c r="AE44" s="437">
        <f t="shared" si="8"/>
        <v>19.317172135340414</v>
      </c>
      <c r="AF44" s="435">
        <f t="shared" si="38"/>
        <v>2003</v>
      </c>
      <c r="AG44" s="795">
        <f>'Brd Link'!L47</f>
        <v>42381.679832948306</v>
      </c>
      <c r="AH44" s="436">
        <f t="shared" si="10"/>
        <v>10.654471468435247</v>
      </c>
      <c r="AI44" s="436">
        <f t="shared" si="11"/>
        <v>113.51776227170073</v>
      </c>
      <c r="AJ44" s="436">
        <f t="shared" si="36"/>
        <v>-3.056048179914848</v>
      </c>
      <c r="AK44" s="437">
        <f t="shared" si="13"/>
        <v>9.339430477960855</v>
      </c>
      <c r="AL44" s="47"/>
      <c r="AM44" s="23">
        <v>1997</v>
      </c>
      <c r="AN44" s="442">
        <f t="shared" ref="AN44:AN49" si="42">AG44+AA44+V44+P44+K44+E44</f>
        <v>1574119.0570957379</v>
      </c>
      <c r="AO44" s="436">
        <f t="shared" si="15"/>
        <v>14.269206344931046</v>
      </c>
      <c r="AP44" s="436">
        <f t="shared" si="16"/>
        <v>203.61024971422043</v>
      </c>
      <c r="AQ44" s="436">
        <f t="shared" si="37"/>
        <v>0.55868669658095149</v>
      </c>
      <c r="AR44" s="437">
        <f t="shared" si="18"/>
        <v>0.31213082493653616</v>
      </c>
      <c r="AS44" s="774">
        <f t="shared" si="31"/>
        <v>1.7483748452052144</v>
      </c>
      <c r="AT44" s="1117">
        <f t="shared" si="32"/>
        <v>673786.35017499933</v>
      </c>
    </row>
    <row r="45" spans="1:49">
      <c r="A45" s="405">
        <v>1998</v>
      </c>
      <c r="B45" s="129">
        <f>'Brd Link'!S48</f>
        <v>635380.79722662957</v>
      </c>
      <c r="C45" s="436">
        <f t="shared" si="19"/>
        <v>13.361979778810085</v>
      </c>
      <c r="D45" s="435">
        <f t="shared" si="0"/>
        <v>2001</v>
      </c>
      <c r="E45" s="922">
        <f>'Brd Link'!D48</f>
        <v>14648.877824859073</v>
      </c>
      <c r="F45" s="436">
        <f t="shared" si="20"/>
        <v>9.5921190125256324</v>
      </c>
      <c r="G45" s="436">
        <f t="shared" si="33"/>
        <v>92.008747150455719</v>
      </c>
      <c r="H45" s="436">
        <f t="shared" si="34"/>
        <v>-3.7698607662844523</v>
      </c>
      <c r="I45" s="436">
        <f t="shared" si="21"/>
        <v>14.211850197170799</v>
      </c>
      <c r="J45" s="435">
        <f t="shared" si="1"/>
        <v>2002</v>
      </c>
      <c r="K45" s="795">
        <f>'Brd Link'!E48</f>
        <v>56834.22212716884</v>
      </c>
      <c r="L45" s="436">
        <f t="shared" si="22"/>
        <v>10.947893925516528</v>
      </c>
      <c r="M45" s="436">
        <f t="shared" si="23"/>
        <v>119.8563814043617</v>
      </c>
      <c r="N45" s="436">
        <f t="shared" si="24"/>
        <v>-2.4140858532935563</v>
      </c>
      <c r="O45" s="436">
        <f t="shared" si="25"/>
        <v>5.827810507072078</v>
      </c>
      <c r="P45" s="129">
        <f>'Brd Link'!F48</f>
        <v>359050.78446500207</v>
      </c>
      <c r="Q45" s="436">
        <f t="shared" si="2"/>
        <v>12.791219118371064</v>
      </c>
      <c r="R45" s="436">
        <f t="shared" si="3"/>
        <v>163.61528653418142</v>
      </c>
      <c r="S45" s="436">
        <f t="shared" si="35"/>
        <v>-0.57076066043902107</v>
      </c>
      <c r="T45" s="436">
        <f t="shared" si="4"/>
        <v>0.32576773150478749</v>
      </c>
      <c r="U45" s="435">
        <f t="shared" si="39"/>
        <v>2003</v>
      </c>
      <c r="V45" s="129">
        <f>'Brd Link'!I48</f>
        <v>1379966.5856725546</v>
      </c>
      <c r="W45" s="436">
        <f t="shared" si="26"/>
        <v>14.137569843559483</v>
      </c>
      <c r="X45" s="436">
        <f t="shared" si="27"/>
        <v>199.8708810815225</v>
      </c>
      <c r="Y45" s="436">
        <f t="shared" si="40"/>
        <v>0.77559006474939862</v>
      </c>
      <c r="Z45" s="437">
        <f t="shared" si="29"/>
        <v>0.60153994853797632</v>
      </c>
      <c r="AA45" s="796">
        <f>'Brd Link'!J48</f>
        <v>13313.228626265411</v>
      </c>
      <c r="AB45" s="436">
        <f t="shared" si="6"/>
        <v>9.4965134534434341</v>
      </c>
      <c r="AC45" s="436">
        <f t="shared" si="7"/>
        <v>90.183767771432144</v>
      </c>
      <c r="AD45" s="436">
        <f t="shared" si="41"/>
        <v>-3.8654663253666515</v>
      </c>
      <c r="AE45" s="437">
        <f t="shared" si="8"/>
        <v>14.941829912543563</v>
      </c>
      <c r="AF45" s="435">
        <f t="shared" si="38"/>
        <v>2004</v>
      </c>
      <c r="AG45" s="795">
        <f>'Brd Link'!L48</f>
        <v>74660.332171505637</v>
      </c>
      <c r="AH45" s="436">
        <f t="shared" si="10"/>
        <v>11.220704201581443</v>
      </c>
      <c r="AI45" s="436">
        <f t="shared" si="11"/>
        <v>125.90420277938745</v>
      </c>
      <c r="AJ45" s="436">
        <f t="shared" ref="AJ45:AJ50" si="43">LN(AG45/$B45)</f>
        <v>-2.1412755772286425</v>
      </c>
      <c r="AK45" s="437">
        <f t="shared" si="13"/>
        <v>4.5850610976358563</v>
      </c>
      <c r="AL45" s="47"/>
      <c r="AM45" s="23">
        <v>1998</v>
      </c>
      <c r="AN45" s="442">
        <f t="shared" si="42"/>
        <v>1898474.0308873556</v>
      </c>
      <c r="AO45" s="436">
        <f t="shared" si="15"/>
        <v>14.456560979807399</v>
      </c>
      <c r="AP45" s="436">
        <f t="shared" si="16"/>
        <v>208.99215536288986</v>
      </c>
      <c r="AQ45" s="436">
        <f t="shared" ref="AQ45:AQ50" si="44">LN(AN45/$B45)</f>
        <v>1.0945812009973153</v>
      </c>
      <c r="AR45" s="437">
        <f t="shared" si="18"/>
        <v>1.198108005576725</v>
      </c>
      <c r="AS45" s="774">
        <f t="shared" si="31"/>
        <v>2.987931078770393</v>
      </c>
      <c r="AT45" s="1117">
        <f t="shared" si="32"/>
        <v>1263093.2336607259</v>
      </c>
    </row>
    <row r="46" spans="1:49">
      <c r="A46" s="405">
        <v>1999</v>
      </c>
      <c r="B46" s="129">
        <f>'Brd Link'!S49</f>
        <v>648887</v>
      </c>
      <c r="C46" s="436">
        <f t="shared" si="19"/>
        <v>13.383013866505049</v>
      </c>
      <c r="D46" s="435">
        <f t="shared" si="0"/>
        <v>2002</v>
      </c>
      <c r="E46" s="129">
        <f>'Brd Link'!D49</f>
        <v>7580.2162664815642</v>
      </c>
      <c r="F46" s="436">
        <f t="shared" si="20"/>
        <v>8.9332970094275055</v>
      </c>
      <c r="G46" s="436">
        <f t="shared" si="33"/>
        <v>79.80379545864642</v>
      </c>
      <c r="H46" s="436">
        <f t="shared" ref="H46:H51" si="45">LN(E46/$B46)</f>
        <v>-4.4497168570775436</v>
      </c>
      <c r="I46" s="436">
        <f t="shared" si="21"/>
        <v>19.799980108160053</v>
      </c>
      <c r="J46" s="435">
        <f t="shared" si="1"/>
        <v>2003</v>
      </c>
      <c r="K46" s="795">
        <f>'Brd Link'!E49</f>
        <v>71103.192868462647</v>
      </c>
      <c r="L46" s="436">
        <f t="shared" si="22"/>
        <v>11.171887521512488</v>
      </c>
      <c r="M46" s="436">
        <f t="shared" si="23"/>
        <v>124.81107079332645</v>
      </c>
      <c r="N46" s="436">
        <f t="shared" ref="N46:N51" si="46">LN(K46/$B46)</f>
        <v>-2.2111263449925618</v>
      </c>
      <c r="O46" s="436">
        <f t="shared" si="25"/>
        <v>4.8890797135201653</v>
      </c>
      <c r="P46" s="129">
        <f>'Brd Link'!F49</f>
        <v>272182.51143379207</v>
      </c>
      <c r="Q46" s="436">
        <f t="shared" si="2"/>
        <v>12.514228118178037</v>
      </c>
      <c r="R46" s="436">
        <f t="shared" si="3"/>
        <v>156.60590539379783</v>
      </c>
      <c r="S46" s="436">
        <f t="shared" ref="S46:S51" si="47">LN(P46/$B46)</f>
        <v>-0.86878574832701283</v>
      </c>
      <c r="T46" s="436">
        <f t="shared" si="4"/>
        <v>0.75478867649612769</v>
      </c>
      <c r="U46" s="435">
        <f t="shared" si="39"/>
        <v>2004</v>
      </c>
      <c r="V46" s="129">
        <f>'Brd Link'!I49</f>
        <v>996194.75347909459</v>
      </c>
      <c r="W46" s="436">
        <f t="shared" si="26"/>
        <v>13.811698053073718</v>
      </c>
      <c r="X46" s="436">
        <f t="shared" si="27"/>
        <v>190.76300310928033</v>
      </c>
      <c r="Y46" s="436">
        <f t="shared" si="40"/>
        <v>0.42868418656866869</v>
      </c>
      <c r="Z46" s="437">
        <f t="shared" si="29"/>
        <v>0.18377013181404114</v>
      </c>
      <c r="AA46" s="796">
        <f>'Brd Link'!J49</f>
        <v>71780.774099935923</v>
      </c>
      <c r="AB46" s="436">
        <f t="shared" si="6"/>
        <v>11.181371948983598</v>
      </c>
      <c r="AC46" s="436">
        <f t="shared" si="7"/>
        <v>125.02307866151726</v>
      </c>
      <c r="AD46" s="436">
        <f t="shared" si="41"/>
        <v>-2.2016419175214526</v>
      </c>
      <c r="AE46" s="437">
        <f t="shared" si="8"/>
        <v>4.8472271329875385</v>
      </c>
      <c r="AF46" s="435">
        <f t="shared" si="38"/>
        <v>2005</v>
      </c>
      <c r="AG46" s="795">
        <f>'Brd Link'!L49</f>
        <v>173454.02140575519</v>
      </c>
      <c r="AH46" s="436">
        <f t="shared" si="10"/>
        <v>12.063667836941788</v>
      </c>
      <c r="AI46" s="436">
        <f t="shared" si="11"/>
        <v>145.53208168006375</v>
      </c>
      <c r="AJ46" s="436">
        <f t="shared" si="43"/>
        <v>-1.3193460295632613</v>
      </c>
      <c r="AK46" s="437">
        <f t="shared" si="13"/>
        <v>1.7406739457243419</v>
      </c>
      <c r="AL46" s="47"/>
      <c r="AM46" s="23">
        <v>1999</v>
      </c>
      <c r="AN46" s="442">
        <f t="shared" si="42"/>
        <v>1592295.4695535223</v>
      </c>
      <c r="AO46" s="436">
        <f t="shared" si="15"/>
        <v>14.280687224618791</v>
      </c>
      <c r="AP46" s="436">
        <f t="shared" si="16"/>
        <v>203.93802760739035</v>
      </c>
      <c r="AQ46" s="436">
        <f t="shared" si="44"/>
        <v>0.89767335811374249</v>
      </c>
      <c r="AR46" s="437">
        <f t="shared" si="18"/>
        <v>0.80581745786720338</v>
      </c>
      <c r="AS46" s="774">
        <f t="shared" si="31"/>
        <v>2.4538871476135635</v>
      </c>
      <c r="AT46" s="1117">
        <f t="shared" si="32"/>
        <v>943408.4695535223</v>
      </c>
    </row>
    <row r="47" spans="1:49">
      <c r="A47" s="405">
        <v>2000</v>
      </c>
      <c r="B47" s="129">
        <f>'Brd Link'!S50</f>
        <v>537592</v>
      </c>
      <c r="C47" s="436">
        <f t="shared" si="19"/>
        <v>13.194855187127974</v>
      </c>
      <c r="D47" s="435">
        <f t="shared" si="0"/>
        <v>2003</v>
      </c>
      <c r="E47" s="129">
        <f>'Brd Link'!D50</f>
        <v>15743.896445334503</v>
      </c>
      <c r="F47" s="436">
        <f t="shared" si="20"/>
        <v>9.6642080418653293</v>
      </c>
      <c r="G47" s="436">
        <f t="shared" si="33"/>
        <v>93.3969170764545</v>
      </c>
      <c r="H47" s="436">
        <f t="shared" si="45"/>
        <v>-3.5306471452626447</v>
      </c>
      <c r="I47" s="436">
        <f t="shared" si="21"/>
        <v>12.465469264351261</v>
      </c>
      <c r="J47" s="435">
        <f t="shared" si="1"/>
        <v>2004</v>
      </c>
      <c r="K47" s="795">
        <f>'Brd Link'!E50</f>
        <v>97651.540500728544</v>
      </c>
      <c r="L47" s="436">
        <f t="shared" si="22"/>
        <v>11.489160711917497</v>
      </c>
      <c r="M47" s="436">
        <f t="shared" si="23"/>
        <v>132.00081386426857</v>
      </c>
      <c r="N47" s="436">
        <f t="shared" si="46"/>
        <v>-1.7056944752104766</v>
      </c>
      <c r="O47" s="436">
        <f t="shared" si="25"/>
        <v>2.909393642763543</v>
      </c>
      <c r="P47" s="129">
        <f>'Brd Link'!F50</f>
        <v>501789.11599463865</v>
      </c>
      <c r="Q47" s="436">
        <f t="shared" si="2"/>
        <v>13.125935222752243</v>
      </c>
      <c r="R47" s="436">
        <f t="shared" si="3"/>
        <v>172.29017547188798</v>
      </c>
      <c r="S47" s="436">
        <f t="shared" si="47"/>
        <v>-6.8919964375729878E-2</v>
      </c>
      <c r="T47" s="436">
        <f t="shared" si="4"/>
        <v>4.7499614895518752E-3</v>
      </c>
      <c r="U47" s="435">
        <f t="shared" si="39"/>
        <v>2005</v>
      </c>
      <c r="V47" s="129">
        <f>'Brd Link'!I50</f>
        <v>1434375.124038063</v>
      </c>
      <c r="W47" s="436">
        <f t="shared" si="26"/>
        <v>14.176239858706381</v>
      </c>
      <c r="X47" s="436">
        <f t="shared" si="27"/>
        <v>200.96577653157553</v>
      </c>
      <c r="Y47" s="436">
        <f t="shared" si="40"/>
        <v>0.98138467157840792</v>
      </c>
      <c r="Z47" s="437">
        <f t="shared" si="29"/>
        <v>0.96311587360905959</v>
      </c>
      <c r="AA47" s="796">
        <f>'Brd Link'!J50</f>
        <v>48395.186096710058</v>
      </c>
      <c r="AB47" s="436">
        <f t="shared" si="6"/>
        <v>10.787155626946394</v>
      </c>
      <c r="AC47" s="436">
        <f t="shared" si="7"/>
        <v>116.36272651996124</v>
      </c>
      <c r="AD47" s="436">
        <f t="shared" si="41"/>
        <v>-2.4076995601815807</v>
      </c>
      <c r="AE47" s="437">
        <f t="shared" si="8"/>
        <v>5.7970171720985775</v>
      </c>
      <c r="AF47" s="435">
        <f t="shared" si="38"/>
        <v>2006</v>
      </c>
      <c r="AG47" s="921">
        <f>'Brd Link'!L50</f>
        <v>199645.74794608256</v>
      </c>
      <c r="AH47" s="436">
        <f t="shared" si="10"/>
        <v>12.204299814724289</v>
      </c>
      <c r="AI47" s="436">
        <f t="shared" si="11"/>
        <v>148.9449339676793</v>
      </c>
      <c r="AJ47" s="436">
        <f t="shared" si="43"/>
        <v>-0.99055537240368463</v>
      </c>
      <c r="AK47" s="437">
        <f t="shared" si="13"/>
        <v>0.98119994579780234</v>
      </c>
      <c r="AL47" s="47"/>
      <c r="AM47" s="23">
        <v>2000</v>
      </c>
      <c r="AN47" s="442">
        <f t="shared" si="42"/>
        <v>2297600.6110215569</v>
      </c>
      <c r="AO47" s="436">
        <f t="shared" si="15"/>
        <v>14.647375923775055</v>
      </c>
      <c r="AP47" s="436">
        <f t="shared" si="16"/>
        <v>214.54562145238515</v>
      </c>
      <c r="AQ47" s="436">
        <f t="shared" si="44"/>
        <v>1.4525207366470814</v>
      </c>
      <c r="AR47" s="437">
        <f t="shared" si="18"/>
        <v>2.1098164903897798</v>
      </c>
      <c r="AS47" s="774">
        <f t="shared" si="31"/>
        <v>4.2738742597017012</v>
      </c>
      <c r="AT47" s="1117">
        <f t="shared" si="32"/>
        <v>1760008.6110215569</v>
      </c>
    </row>
    <row r="48" spans="1:49">
      <c r="A48" s="405">
        <v>2001</v>
      </c>
      <c r="B48" s="129">
        <f>'Brd Link'!S51</f>
        <v>680513</v>
      </c>
      <c r="C48" s="436">
        <f t="shared" ref="C48:C54" si="48">LN(B48)</f>
        <v>13.43060220449148</v>
      </c>
      <c r="D48" s="435">
        <f t="shared" si="0"/>
        <v>2004</v>
      </c>
      <c r="E48" s="129">
        <f>'Brd Link'!D51</f>
        <v>6843.0382800759517</v>
      </c>
      <c r="F48" s="436">
        <f t="shared" si="20"/>
        <v>8.8309871049856525</v>
      </c>
      <c r="G48" s="436">
        <f t="shared" si="33"/>
        <v>77.986333248422881</v>
      </c>
      <c r="H48" s="436">
        <f t="shared" si="45"/>
        <v>-4.5996150995058276</v>
      </c>
      <c r="I48" s="436">
        <f t="shared" si="21"/>
        <v>21.156459063602004</v>
      </c>
      <c r="J48" s="435">
        <f t="shared" si="1"/>
        <v>2005</v>
      </c>
      <c r="K48" s="795">
        <f>'Brd Link'!E51</f>
        <v>132236.79661882488</v>
      </c>
      <c r="L48" s="436">
        <f t="shared" si="22"/>
        <v>11.792349508205923</v>
      </c>
      <c r="M48" s="436">
        <f t="shared" si="23"/>
        <v>139.05950692368449</v>
      </c>
      <c r="N48" s="436">
        <f t="shared" si="46"/>
        <v>-1.6382526962855573</v>
      </c>
      <c r="O48" s="436">
        <f t="shared" si="25"/>
        <v>2.6838718968868984</v>
      </c>
      <c r="P48" s="129">
        <f>'Brd Link'!F51</f>
        <v>258148.88316457791</v>
      </c>
      <c r="Q48" s="436">
        <f t="shared" si="2"/>
        <v>12.461291763994264</v>
      </c>
      <c r="R48" s="436">
        <f t="shared" si="3"/>
        <v>155.28379242739129</v>
      </c>
      <c r="S48" s="436">
        <f t="shared" si="47"/>
        <v>-0.96931044049721593</v>
      </c>
      <c r="T48" s="436">
        <f t="shared" si="4"/>
        <v>0.93956273005690683</v>
      </c>
      <c r="U48" s="435">
        <f t="shared" si="39"/>
        <v>2006</v>
      </c>
      <c r="V48" s="129">
        <f>'Brd Link'!I51</f>
        <v>1472393.5551385009</v>
      </c>
      <c r="W48" s="436">
        <f t="shared" si="26"/>
        <v>14.202399903364208</v>
      </c>
      <c r="X48" s="436">
        <f t="shared" si="27"/>
        <v>201.70816301507966</v>
      </c>
      <c r="Y48" s="436">
        <f t="shared" si="40"/>
        <v>0.77179769887272742</v>
      </c>
      <c r="Z48" s="437">
        <f t="shared" si="29"/>
        <v>0.59567168798523729</v>
      </c>
      <c r="AA48" s="796">
        <f>'Brd Link'!J51</f>
        <v>58197.772436206709</v>
      </c>
      <c r="AB48" s="436">
        <f t="shared" si="6"/>
        <v>10.971602358695069</v>
      </c>
      <c r="AC48" s="436">
        <f t="shared" si="7"/>
        <v>120.3760583173232</v>
      </c>
      <c r="AD48" s="436">
        <f t="shared" si="41"/>
        <v>-2.4589998457964115</v>
      </c>
      <c r="AE48" s="437">
        <f t="shared" si="8"/>
        <v>6.0466802416267758</v>
      </c>
      <c r="AF48" s="435">
        <f t="shared" si="38"/>
        <v>2007</v>
      </c>
      <c r="AG48" s="795">
        <f>'Brd Link'!L51</f>
        <v>289597.85577016172</v>
      </c>
      <c r="AH48" s="436">
        <f t="shared" si="10"/>
        <v>12.576248535357729</v>
      </c>
      <c r="AI48" s="436">
        <f t="shared" si="11"/>
        <v>158.16202722308742</v>
      </c>
      <c r="AJ48" s="436">
        <f t="shared" si="43"/>
        <v>-0.85435366913374999</v>
      </c>
      <c r="AK48" s="437">
        <f t="shared" si="13"/>
        <v>0.72992019196230118</v>
      </c>
      <c r="AL48" s="47"/>
      <c r="AM48" s="227">
        <v>2001</v>
      </c>
      <c r="AN48" s="442">
        <f t="shared" si="42"/>
        <v>2217417.9014083482</v>
      </c>
      <c r="AO48" s="436">
        <f t="shared" si="15"/>
        <v>14.611853969440299</v>
      </c>
      <c r="AP48" s="436">
        <f t="shared" si="16"/>
        <v>213.5062764242482</v>
      </c>
      <c r="AQ48" s="436">
        <f t="shared" si="44"/>
        <v>1.1812517649488179</v>
      </c>
      <c r="AR48" s="437">
        <f t="shared" si="18"/>
        <v>1.3953557321946972</v>
      </c>
      <c r="AS48" s="774">
        <f t="shared" si="31"/>
        <v>3.2584504651760482</v>
      </c>
      <c r="AT48" s="1117">
        <f t="shared" si="32"/>
        <v>1536904.9014083482</v>
      </c>
    </row>
    <row r="49" spans="1:46">
      <c r="A49" s="405">
        <v>2002</v>
      </c>
      <c r="B49" s="129">
        <f>'Brd Link'!S52</f>
        <v>732389</v>
      </c>
      <c r="C49" s="436">
        <f t="shared" si="48"/>
        <v>13.504067072554466</v>
      </c>
      <c r="D49" s="435">
        <f t="shared" si="0"/>
        <v>2005</v>
      </c>
      <c r="E49" s="129">
        <f>'Brd Link'!D52</f>
        <v>6090.5428281522218</v>
      </c>
      <c r="F49" s="436">
        <f t="shared" si="20"/>
        <v>8.7144924910752639</v>
      </c>
      <c r="G49" s="436">
        <f t="shared" si="33"/>
        <v>75.942379377007157</v>
      </c>
      <c r="H49" s="436">
        <f t="shared" si="45"/>
        <v>-4.7895745814792035</v>
      </c>
      <c r="I49" s="436">
        <f t="shared" si="21"/>
        <v>22.940024671551686</v>
      </c>
      <c r="J49" s="435">
        <f t="shared" si="1"/>
        <v>2006</v>
      </c>
      <c r="K49" s="795">
        <f>'Brd Link'!E52</f>
        <v>65529.708631289825</v>
      </c>
      <c r="L49" s="436">
        <f t="shared" si="22"/>
        <v>11.090258885682895</v>
      </c>
      <c r="M49" s="436">
        <f t="shared" si="23"/>
        <v>122.9938421514684</v>
      </c>
      <c r="N49" s="436">
        <f t="shared" si="46"/>
        <v>-2.4138081868715719</v>
      </c>
      <c r="O49" s="436">
        <f t="shared" si="25"/>
        <v>5.8264699630082255</v>
      </c>
      <c r="P49" s="129">
        <f>'Brd Link'!F52</f>
        <v>401156.89491228049</v>
      </c>
      <c r="Q49" s="436">
        <f t="shared" si="2"/>
        <v>12.90210788889968</v>
      </c>
      <c r="R49" s="436">
        <f t="shared" si="3"/>
        <v>166.46438797680736</v>
      </c>
      <c r="S49" s="436">
        <f t="shared" si="47"/>
        <v>-0.60195918365478707</v>
      </c>
      <c r="T49" s="436">
        <f t="shared" si="4"/>
        <v>0.36235485878633766</v>
      </c>
      <c r="U49" s="435">
        <f t="shared" si="39"/>
        <v>2007</v>
      </c>
      <c r="V49" s="129">
        <f>'Brd Link'!I52</f>
        <v>2281728.634522045</v>
      </c>
      <c r="W49" s="436">
        <f t="shared" si="26"/>
        <v>14.640443886698622</v>
      </c>
      <c r="X49" s="436">
        <f t="shared" si="27"/>
        <v>214.34259719957103</v>
      </c>
      <c r="Y49" s="436">
        <f t="shared" si="40"/>
        <v>1.136376814144155</v>
      </c>
      <c r="Z49" s="437">
        <f t="shared" si="29"/>
        <v>1.2913522637244195</v>
      </c>
      <c r="AA49" s="796">
        <f>'Brd Link'!J52</f>
        <v>15367.679240517831</v>
      </c>
      <c r="AB49" s="436">
        <f t="shared" si="6"/>
        <v>9.640021832322569</v>
      </c>
      <c r="AC49" s="436">
        <f t="shared" si="7"/>
        <v>92.930020927655775</v>
      </c>
      <c r="AD49" s="436">
        <f t="shared" si="41"/>
        <v>-3.8640452402318974</v>
      </c>
      <c r="AE49" s="437">
        <f t="shared" si="8"/>
        <v>14.930845618558783</v>
      </c>
      <c r="AF49" s="435">
        <f t="shared" si="38"/>
        <v>2008</v>
      </c>
      <c r="AG49" s="795">
        <f>'Brd Link'!L52</f>
        <v>113451.33767517553</v>
      </c>
      <c r="AH49" s="436">
        <f t="shared" si="10"/>
        <v>11.639129281017061</v>
      </c>
      <c r="AI49" s="436">
        <f t="shared" si="11"/>
        <v>135.46933042022872</v>
      </c>
      <c r="AJ49" s="436">
        <f t="shared" si="43"/>
        <v>-1.8649377915374057</v>
      </c>
      <c r="AK49" s="437">
        <f t="shared" si="13"/>
        <v>3.477992966304416</v>
      </c>
      <c r="AL49" s="47"/>
      <c r="AM49" s="23">
        <v>2002</v>
      </c>
      <c r="AN49" s="442">
        <f t="shared" si="42"/>
        <v>2883324.7978094611</v>
      </c>
      <c r="AO49" s="436">
        <f t="shared" si="15"/>
        <v>14.874454629938274</v>
      </c>
      <c r="AP49" s="436">
        <f t="shared" si="16"/>
        <v>221.24940053809215</v>
      </c>
      <c r="AQ49" s="436">
        <f t="shared" si="44"/>
        <v>1.3703875573838069</v>
      </c>
      <c r="AR49" s="437">
        <f t="shared" si="18"/>
        <v>1.8779620574323568</v>
      </c>
      <c r="AS49" s="774">
        <f t="shared" si="31"/>
        <v>3.9368761652748212</v>
      </c>
      <c r="AT49" s="1117">
        <f t="shared" si="32"/>
        <v>2150935.7978094611</v>
      </c>
    </row>
    <row r="50" spans="1:46">
      <c r="A50" s="405">
        <v>2003</v>
      </c>
      <c r="B50" s="129">
        <f>'Brd Link'!S53</f>
        <v>653564</v>
      </c>
      <c r="C50" s="436">
        <f t="shared" si="48"/>
        <v>13.390195741451633</v>
      </c>
      <c r="D50" s="435">
        <f t="shared" si="0"/>
        <v>2006</v>
      </c>
      <c r="E50" s="922">
        <f>'Brd Link'!D53</f>
        <v>5212.4666426457889</v>
      </c>
      <c r="F50" s="436">
        <f t="shared" si="20"/>
        <v>8.5588084665941651</v>
      </c>
      <c r="G50" s="436">
        <f t="shared" si="33"/>
        <v>73.253202367843969</v>
      </c>
      <c r="H50" s="436">
        <f t="shared" si="45"/>
        <v>-4.8313872748574669</v>
      </c>
      <c r="I50" s="436">
        <f t="shared" si="21"/>
        <v>23.34230299965466</v>
      </c>
      <c r="J50" s="435">
        <f t="shared" si="1"/>
        <v>2007</v>
      </c>
      <c r="K50" s="795">
        <f>'Brd Link'!E53</f>
        <v>87317.420271431401</v>
      </c>
      <c r="L50" s="436">
        <f t="shared" si="22"/>
        <v>11.377305266840285</v>
      </c>
      <c r="M50" s="436">
        <f t="shared" si="23"/>
        <v>129.44307513487169</v>
      </c>
      <c r="N50" s="436">
        <f t="shared" si="46"/>
        <v>-2.0128904746113467</v>
      </c>
      <c r="O50" s="436">
        <f t="shared" si="25"/>
        <v>4.051728062781093</v>
      </c>
      <c r="P50" s="129">
        <f>'Brd Link'!F53</f>
        <v>144497.9544226641</v>
      </c>
      <c r="Q50" s="436">
        <f t="shared" si="2"/>
        <v>11.881020630189884</v>
      </c>
      <c r="R50" s="436">
        <f t="shared" si="3"/>
        <v>141.15865121499763</v>
      </c>
      <c r="S50" s="436">
        <f t="shared" si="47"/>
        <v>-1.5091751112617477</v>
      </c>
      <c r="T50" s="436">
        <f t="shared" si="4"/>
        <v>2.2776095164519088</v>
      </c>
      <c r="U50" s="435">
        <f t="shared" si="39"/>
        <v>2008</v>
      </c>
      <c r="V50" s="129">
        <f>'Brd Link'!I53</f>
        <v>796157.21431067027</v>
      </c>
      <c r="W50" s="436">
        <f t="shared" si="26"/>
        <v>13.587551950740307</v>
      </c>
      <c r="X50" s="436">
        <f t="shared" si="27"/>
        <v>184.62156801406672</v>
      </c>
      <c r="Y50" s="436">
        <f t="shared" ref="Y50:Y55" si="49">LN(V50/$B50)</f>
        <v>0.19735620928867606</v>
      </c>
      <c r="Z50" s="437">
        <f t="shared" si="29"/>
        <v>3.8949473344795704E-2</v>
      </c>
      <c r="AA50" s="796">
        <f>'Brd Link'!J53</f>
        <v>15401.179969687904</v>
      </c>
      <c r="AB50" s="436">
        <f t="shared" si="6"/>
        <v>9.6421994068747559</v>
      </c>
      <c r="AC50" s="436">
        <f t="shared" si="7"/>
        <v>92.972009401935892</v>
      </c>
      <c r="AD50" s="436">
        <f t="shared" ref="AD50:AD55" si="50">LN(AA50/$B50)</f>
        <v>-3.7479963345768761</v>
      </c>
      <c r="AE50" s="437">
        <f t="shared" si="8"/>
        <v>14.047476524001699</v>
      </c>
      <c r="AF50" s="435">
        <f t="shared" ref="AF50:AF56" si="51">A50+6</f>
        <v>2009</v>
      </c>
      <c r="AG50" s="795">
        <f>'Brd Link'!L53</f>
        <v>220613.2456254311</v>
      </c>
      <c r="AH50" s="436">
        <f t="shared" si="10"/>
        <v>12.304166427631953</v>
      </c>
      <c r="AI50" s="436">
        <f t="shared" si="11"/>
        <v>151.39251147886526</v>
      </c>
      <c r="AJ50" s="436">
        <f t="shared" si="43"/>
        <v>-1.086029313819679</v>
      </c>
      <c r="AK50" s="437">
        <f t="shared" si="13"/>
        <v>1.1794596704756428</v>
      </c>
      <c r="AL50" s="47"/>
      <c r="AM50" s="227">
        <v>2003</v>
      </c>
      <c r="AN50" s="442">
        <f>AG50+AA50+V50+P50+K50+E50</f>
        <v>1269199.4812425305</v>
      </c>
      <c r="AO50" s="436">
        <f t="shared" si="15"/>
        <v>14.053896929963178</v>
      </c>
      <c r="AP50" s="436">
        <f t="shared" si="16"/>
        <v>197.51201891802845</v>
      </c>
      <c r="AQ50" s="436">
        <f t="shared" si="44"/>
        <v>0.66370118851154714</v>
      </c>
      <c r="AR50" s="437">
        <f t="shared" si="18"/>
        <v>0.44049926763164021</v>
      </c>
      <c r="AS50" s="774">
        <f>AN50/B50</f>
        <v>1.9419666340902046</v>
      </c>
      <c r="AT50" s="1117">
        <f t="shared" si="32"/>
        <v>615635.48124253051</v>
      </c>
    </row>
    <row r="51" spans="1:46">
      <c r="A51" s="405">
        <v>2004</v>
      </c>
      <c r="B51" s="129">
        <f>'Brd Link'!S54</f>
        <v>586352</v>
      </c>
      <c r="C51" s="436">
        <f t="shared" si="48"/>
        <v>13.28167557081543</v>
      </c>
      <c r="D51" s="435">
        <f t="shared" si="0"/>
        <v>2007</v>
      </c>
      <c r="E51" s="129">
        <f>'Brd Link'!D54</f>
        <v>24293.51932402937</v>
      </c>
      <c r="F51" s="436">
        <f t="shared" si="20"/>
        <v>10.097964899274954</v>
      </c>
      <c r="G51" s="436">
        <f t="shared" si="33"/>
        <v>101.96889510698904</v>
      </c>
      <c r="H51" s="436">
        <f t="shared" si="45"/>
        <v>-3.183710671540477</v>
      </c>
      <c r="I51" s="436">
        <f t="shared" si="21"/>
        <v>10.136013640080716</v>
      </c>
      <c r="J51" s="435">
        <f t="shared" si="1"/>
        <v>2008</v>
      </c>
      <c r="K51" s="795">
        <f>'Brd Link'!E54</f>
        <v>15467.467798964146</v>
      </c>
      <c r="L51" s="436">
        <f t="shared" si="22"/>
        <v>9.6464942455516205</v>
      </c>
      <c r="M51" s="436">
        <f t="shared" si="23"/>
        <v>93.054851229460525</v>
      </c>
      <c r="N51" s="436">
        <f t="shared" si="46"/>
        <v>-3.6351813252638099</v>
      </c>
      <c r="O51" s="436">
        <f t="shared" si="25"/>
        <v>13.21454326754675</v>
      </c>
      <c r="P51" s="129">
        <f>'Brd Link'!F54</f>
        <v>103350.61858821202</v>
      </c>
      <c r="Q51" s="436">
        <f t="shared" si="2"/>
        <v>11.545882550464155</v>
      </c>
      <c r="R51" s="436">
        <f t="shared" si="3"/>
        <v>133.30740386911265</v>
      </c>
      <c r="S51" s="436">
        <f t="shared" si="47"/>
        <v>-1.7357930203512755</v>
      </c>
      <c r="T51" s="436">
        <f t="shared" si="4"/>
        <v>3.0129774095002033</v>
      </c>
      <c r="U51" s="435">
        <f t="shared" ref="U51:U56" si="52">A51+5</f>
        <v>2009</v>
      </c>
      <c r="V51" s="129">
        <f>'Brd Link'!I54</f>
        <v>940457.62252988853</v>
      </c>
      <c r="W51" s="436">
        <f t="shared" si="26"/>
        <v>13.754121868260308</v>
      </c>
      <c r="X51" s="436">
        <f t="shared" si="27"/>
        <v>189.17586836695642</v>
      </c>
      <c r="Y51" s="436">
        <f t="shared" si="49"/>
        <v>0.47244629744487654</v>
      </c>
      <c r="Z51" s="437">
        <f t="shared" si="29"/>
        <v>0.22320550396937275</v>
      </c>
      <c r="AA51" s="796">
        <f>'Brd Link'!J54</f>
        <v>37854.670951031578</v>
      </c>
      <c r="AB51" s="436">
        <f t="shared" si="6"/>
        <v>10.541509658148065</v>
      </c>
      <c r="AC51" s="436">
        <f t="shared" si="7"/>
        <v>111.12342587282895</v>
      </c>
      <c r="AD51" s="436">
        <f t="shared" si="50"/>
        <v>-2.7401659126673654</v>
      </c>
      <c r="AE51" s="437">
        <f t="shared" si="8"/>
        <v>7.5085092289441757</v>
      </c>
      <c r="AF51" s="435">
        <f t="shared" si="51"/>
        <v>2010</v>
      </c>
      <c r="AG51" s="795">
        <f>'Brd Link'!L54</f>
        <v>86395.421938443425</v>
      </c>
      <c r="AH51" s="436">
        <f t="shared" ref="AH51" si="53">LN(AG51)</f>
        <v>11.366689966564724</v>
      </c>
      <c r="AI51" s="436">
        <f t="shared" ref="AI51" si="54">AH51^2</f>
        <v>129.20164079600318</v>
      </c>
      <c r="AJ51" s="436">
        <f t="shared" ref="AJ51" si="55">LN(AG51/$B51)</f>
        <v>-1.9149856042507063</v>
      </c>
      <c r="AK51" s="437">
        <f t="shared" ref="AK51" si="56">AJ51^2</f>
        <v>3.6671698644874429</v>
      </c>
      <c r="AL51" s="47"/>
      <c r="AM51" s="227">
        <v>2004</v>
      </c>
      <c r="AN51" s="442">
        <f>AG51+AA51+V51+P51+K51+E51</f>
        <v>1207819.3211305689</v>
      </c>
      <c r="AO51" s="436">
        <f t="shared" ref="AO51" si="57">LN(AN51)</f>
        <v>14.004327077689876</v>
      </c>
      <c r="AP51" s="436">
        <f t="shared" ref="AP51" si="58">AO51^2</f>
        <v>196.12117689891787</v>
      </c>
      <c r="AQ51" s="436">
        <f t="shared" ref="AQ51" si="59">LN(AN51/$B51)</f>
        <v>0.72265150687444568</v>
      </c>
      <c r="AR51" s="437">
        <f t="shared" ref="AR51" si="60">AQ51^2</f>
        <v>0.52222520038790698</v>
      </c>
      <c r="AS51" s="774">
        <f>AN51/B51</f>
        <v>2.0598877826468893</v>
      </c>
      <c r="AT51" s="1117">
        <f t="shared" si="32"/>
        <v>621467.32113056886</v>
      </c>
    </row>
    <row r="52" spans="1:46">
      <c r="A52" s="405">
        <v>2005</v>
      </c>
      <c r="B52" s="129">
        <f>'Brd Link'!S55</f>
        <v>631646.30056050722</v>
      </c>
      <c r="C52" s="436">
        <f t="shared" si="48"/>
        <v>13.356084865454058</v>
      </c>
      <c r="D52" s="435">
        <f t="shared" si="0"/>
        <v>2008</v>
      </c>
      <c r="E52" s="129">
        <f>'Brd Link'!D55</f>
        <v>2664.0438512035921</v>
      </c>
      <c r="F52" s="436">
        <f t="shared" si="20"/>
        <v>7.8876004921868139</v>
      </c>
      <c r="G52" s="436">
        <f t="shared" si="33"/>
        <v>62.214241524345667</v>
      </c>
      <c r="H52" s="436">
        <f t="shared" ref="H52:H57" si="61">LN(E52/$B52)</f>
        <v>-5.4684843732672439</v>
      </c>
      <c r="I52" s="436">
        <f t="shared" si="21"/>
        <v>29.904321340668041</v>
      </c>
      <c r="J52" s="435">
        <f t="shared" si="1"/>
        <v>2009</v>
      </c>
      <c r="K52" s="795">
        <f>'Brd Link'!E55</f>
        <v>44060.106639328726</v>
      </c>
      <c r="L52" s="436">
        <f t="shared" si="22"/>
        <v>10.693310040674076</v>
      </c>
      <c r="M52" s="436">
        <f t="shared" si="23"/>
        <v>114.346879625981</v>
      </c>
      <c r="N52" s="436">
        <f t="shared" ref="N52:N57" si="62">LN(K52/$B52)</f>
        <v>-2.6627748247799823</v>
      </c>
      <c r="O52" s="436">
        <f t="shared" si="25"/>
        <v>7.0903697674820654</v>
      </c>
      <c r="P52" s="129">
        <f>'Brd Link'!F55</f>
        <v>348675.14452879829</v>
      </c>
      <c r="Q52" s="436">
        <f t="shared" si="2"/>
        <v>12.761895949735445</v>
      </c>
      <c r="R52" s="436">
        <f t="shared" si="3"/>
        <v>162.86598823187396</v>
      </c>
      <c r="S52" s="436">
        <f t="shared" ref="S52:S57" si="63">LN(P52/$B52)</f>
        <v>-0.5941889157186131</v>
      </c>
      <c r="T52" s="436">
        <f t="shared" si="4"/>
        <v>0.35306046756286108</v>
      </c>
      <c r="U52" s="435">
        <f t="shared" si="52"/>
        <v>2010</v>
      </c>
      <c r="V52" s="129">
        <f>'Brd Link'!I55</f>
        <v>730494.56928830943</v>
      </c>
      <c r="W52" s="436">
        <f t="shared" ref="W52" si="64">LN(V52)</f>
        <v>13.501477075906118</v>
      </c>
      <c r="X52" s="436">
        <f t="shared" ref="X52" si="65">W52^2</f>
        <v>182.28988323121843</v>
      </c>
      <c r="Y52" s="436">
        <f t="shared" si="49"/>
        <v>0.14539221045206133</v>
      </c>
      <c r="Z52" s="437">
        <f t="shared" ref="Z52" si="66">Y52^2</f>
        <v>2.1138894860136492E-2</v>
      </c>
      <c r="AA52" s="796">
        <f>'Brd Link'!J55</f>
        <v>21592.29762588007</v>
      </c>
      <c r="AB52" s="436">
        <f t="shared" ref="AB52" si="67">LN(AA52)</f>
        <v>9.9800919386839855</v>
      </c>
      <c r="AC52" s="436">
        <f t="shared" ref="AC52" si="68">AB52^2</f>
        <v>99.602235104585077</v>
      </c>
      <c r="AD52" s="436">
        <f t="shared" si="50"/>
        <v>-3.3759929267700719</v>
      </c>
      <c r="AE52" s="437">
        <f t="shared" ref="AE52" si="69">AD52^2</f>
        <v>11.397328241601556</v>
      </c>
      <c r="AF52" s="435">
        <f t="shared" si="51"/>
        <v>2011</v>
      </c>
      <c r="AG52" s="795">
        <f>'Brd Link'!L55</f>
        <v>127958.75301238397</v>
      </c>
      <c r="AH52" s="436">
        <f t="shared" ref="AH52" si="70">LN(AG52)</f>
        <v>11.759463248879864</v>
      </c>
      <c r="AI52" s="436">
        <f t="shared" ref="AI52" si="71">AH52^2</f>
        <v>138.28497590175618</v>
      </c>
      <c r="AJ52" s="436">
        <f t="shared" ref="AJ52" si="72">LN(AG52/$B52)</f>
        <v>-1.5966216165741924</v>
      </c>
      <c r="AK52" s="437">
        <f t="shared" ref="AK52" si="73">AJ52^2</f>
        <v>2.5492005865119878</v>
      </c>
      <c r="AL52" s="47"/>
      <c r="AM52" s="227">
        <v>2005</v>
      </c>
      <c r="AN52" s="442">
        <f>AG52+AA52+V52+P52+K52+E52</f>
        <v>1275444.9149459039</v>
      </c>
      <c r="AO52" s="436">
        <f t="shared" ref="AO52" si="74">LN(AN52)</f>
        <v>14.058805628603508</v>
      </c>
      <c r="AP52" s="436">
        <f t="shared" ref="AP52" si="75">AO52^2</f>
        <v>197.65001570285369</v>
      </c>
      <c r="AQ52" s="436">
        <f t="shared" ref="AQ52" si="76">LN(AN52/$B52)</f>
        <v>0.70272076314945164</v>
      </c>
      <c r="AR52" s="437">
        <f t="shared" ref="AR52" si="77">AQ52^2</f>
        <v>0.49381647096134773</v>
      </c>
      <c r="AS52" s="774">
        <f>AN52/B52</f>
        <v>2.0192391118480484</v>
      </c>
      <c r="AT52" s="1117">
        <f t="shared" si="32"/>
        <v>643798.61438539671</v>
      </c>
    </row>
    <row r="53" spans="1:46">
      <c r="A53" s="405">
        <v>2006</v>
      </c>
      <c r="B53" s="129">
        <f>'Brd Link'!S56</f>
        <v>777081</v>
      </c>
      <c r="C53" s="436">
        <f t="shared" si="48"/>
        <v>13.56329987102068</v>
      </c>
      <c r="D53" s="435">
        <f t="shared" ref="D53:D58" si="78">A53+3</f>
        <v>2009</v>
      </c>
      <c r="E53" s="129">
        <f>'Brd Link'!D56</f>
        <v>1650.0452612052413</v>
      </c>
      <c r="F53" s="436">
        <f t="shared" si="20"/>
        <v>7.408557997551882</v>
      </c>
      <c r="G53" s="436">
        <f t="shared" si="33"/>
        <v>54.886731603089949</v>
      </c>
      <c r="H53" s="436">
        <f t="shared" si="61"/>
        <v>-6.1547418734687982</v>
      </c>
      <c r="I53" s="436">
        <f t="shared" si="21"/>
        <v>37.880847529030213</v>
      </c>
      <c r="J53" s="435">
        <f t="shared" si="1"/>
        <v>2010</v>
      </c>
      <c r="K53" s="795">
        <f>'Brd Link'!E56</f>
        <v>19349.812082381031</v>
      </c>
      <c r="L53" s="436">
        <f t="shared" ref="L53" si="79">LN(K53)</f>
        <v>9.8704379869059142</v>
      </c>
      <c r="M53" s="436">
        <f t="shared" ref="M53" si="80">L53^2</f>
        <v>97.425546053355276</v>
      </c>
      <c r="N53" s="436">
        <f t="shared" si="62"/>
        <v>-3.6928618841147651</v>
      </c>
      <c r="O53" s="436">
        <f t="shared" ref="O53" si="81">N53^2</f>
        <v>13.637228895147652</v>
      </c>
      <c r="P53" s="129">
        <f>'Brd Link'!F56</f>
        <v>409775.58032286481</v>
      </c>
      <c r="Q53" s="436">
        <f t="shared" ref="Q53" si="82">LN(P53)</f>
        <v>12.923364923755361</v>
      </c>
      <c r="R53" s="436">
        <f t="shared" ref="R53" si="83">Q53^2</f>
        <v>167.01336095255041</v>
      </c>
      <c r="S53" s="436">
        <f t="shared" si="63"/>
        <v>-0.63993494726531808</v>
      </c>
      <c r="T53" s="436">
        <f t="shared" ref="T53" si="84">S53^2</f>
        <v>0.40951673673146544</v>
      </c>
      <c r="U53" s="435">
        <f t="shared" si="52"/>
        <v>2011</v>
      </c>
      <c r="V53" s="129">
        <f>'Brd Link'!I56</f>
        <v>1832418.5211423838</v>
      </c>
      <c r="W53" s="436">
        <f t="shared" ref="W53" si="85">LN(V53)</f>
        <v>14.421147248530623</v>
      </c>
      <c r="X53" s="436">
        <f t="shared" ref="X53" si="86">W53^2</f>
        <v>207.96948796380235</v>
      </c>
      <c r="Y53" s="436">
        <f t="shared" si="49"/>
        <v>0.85784737750994378</v>
      </c>
      <c r="Z53" s="437">
        <f t="shared" ref="Z53" si="87">Y53^2</f>
        <v>0.73590212310068803</v>
      </c>
      <c r="AA53" s="796">
        <f>'Brd Link'!J56</f>
        <v>48233.678902116226</v>
      </c>
      <c r="AB53" s="436">
        <f t="shared" ref="AB53" si="88">LN(AA53)</f>
        <v>10.783812788447905</v>
      </c>
      <c r="AC53" s="436">
        <f t="shared" ref="AC53" si="89">AB53^2</f>
        <v>116.29061825629259</v>
      </c>
      <c r="AD53" s="436">
        <f t="shared" si="50"/>
        <v>-2.7794870825727735</v>
      </c>
      <c r="AE53" s="437">
        <f t="shared" ref="AE53" si="90">AD53^2</f>
        <v>7.7255484421889085</v>
      </c>
      <c r="AF53" s="435">
        <f t="shared" si="51"/>
        <v>2012</v>
      </c>
      <c r="AG53" s="795">
        <f>'Brd Link'!L56</f>
        <v>105792.81658205001</v>
      </c>
      <c r="AH53" s="436">
        <f t="shared" ref="AH53" si="91">LN(AG53)</f>
        <v>11.569237899901379</v>
      </c>
      <c r="AI53" s="436">
        <f t="shared" ref="AI53" si="92">AH53^2</f>
        <v>133.84726558451447</v>
      </c>
      <c r="AJ53" s="436">
        <f t="shared" ref="AJ53" si="93">LN(AG53/$B53)</f>
        <v>-1.9940619711193004</v>
      </c>
      <c r="AK53" s="437">
        <f t="shared" ref="AK53" si="94">AJ53^2</f>
        <v>3.9762831446641895</v>
      </c>
      <c r="AL53" s="47"/>
      <c r="AM53" s="23">
        <v>2006</v>
      </c>
      <c r="AN53" s="442">
        <f>AG53+AA53+V53+P53+K53+E53</f>
        <v>2417220.454293001</v>
      </c>
      <c r="AO53" s="436">
        <f t="shared" ref="AO53" si="95">LN(AN53)</f>
        <v>14.698128865411647</v>
      </c>
      <c r="AP53" s="436">
        <f t="shared" ref="AP53" si="96">AO53^2</f>
        <v>216.03499214424707</v>
      </c>
      <c r="AQ53" s="436">
        <f t="shared" ref="AQ53" si="97">LN(AN53/$B53)</f>
        <v>1.1348289943909671</v>
      </c>
      <c r="AR53" s="437">
        <f t="shared" ref="AR53" si="98">AQ53^2</f>
        <v>1.2878368465104135</v>
      </c>
      <c r="AS53" s="774">
        <f>AN53/B53</f>
        <v>3.1106415602659196</v>
      </c>
      <c r="AT53" s="1117">
        <f t="shared" si="32"/>
        <v>1640139.454293001</v>
      </c>
    </row>
    <row r="54" spans="1:46">
      <c r="A54" s="405">
        <v>2007</v>
      </c>
      <c r="B54" s="129">
        <f>'Brd Link'!S57</f>
        <v>786913</v>
      </c>
      <c r="C54" s="436">
        <f t="shared" si="48"/>
        <v>13.575872974910187</v>
      </c>
      <c r="D54" s="435">
        <f t="shared" si="78"/>
        <v>2010</v>
      </c>
      <c r="E54" s="129">
        <f>'Brd Link'!D57</f>
        <v>7122.8852841586249</v>
      </c>
      <c r="F54" s="436">
        <f t="shared" ref="F54" si="99">LN(E54)</f>
        <v>8.8710681588590035</v>
      </c>
      <c r="G54" s="436">
        <f t="shared" ref="G54" si="100">F54^2</f>
        <v>78.69585027912207</v>
      </c>
      <c r="H54" s="436">
        <f t="shared" si="61"/>
        <v>-4.7048048160511824</v>
      </c>
      <c r="I54" s="436">
        <f t="shared" ref="I54" si="101">H54^2</f>
        <v>22.1351883571384</v>
      </c>
      <c r="J54" s="435">
        <f t="shared" si="1"/>
        <v>2011</v>
      </c>
      <c r="K54" s="795">
        <f>'Brd Link'!E57</f>
        <v>88065.874441732492</v>
      </c>
      <c r="L54" s="436">
        <f t="shared" ref="L54" si="102">LN(K54)</f>
        <v>11.385840386620675</v>
      </c>
      <c r="M54" s="436">
        <f t="shared" ref="M54" si="103">L54^2</f>
        <v>129.63736130960245</v>
      </c>
      <c r="N54" s="436">
        <f t="shared" si="62"/>
        <v>-2.1900325882895104</v>
      </c>
      <c r="O54" s="436">
        <f t="shared" ref="O54" si="104">N54^2</f>
        <v>4.7962427377700525</v>
      </c>
      <c r="P54" s="129">
        <f>'Brd Link'!F57</f>
        <v>442676.75714160182</v>
      </c>
      <c r="Q54" s="436">
        <f t="shared" ref="Q54" si="105">LN(P54)</f>
        <v>13.000595114838205</v>
      </c>
      <c r="R54" s="436">
        <f t="shared" ref="R54" si="106">Q54^2</f>
        <v>169.01547333995501</v>
      </c>
      <c r="S54" s="436">
        <f t="shared" si="63"/>
        <v>-0.57527786007198112</v>
      </c>
      <c r="T54" s="436">
        <f t="shared" ref="T54" si="107">S54^2</f>
        <v>0.33094461628899791</v>
      </c>
      <c r="U54" s="435">
        <f t="shared" si="52"/>
        <v>2012</v>
      </c>
      <c r="V54" s="129">
        <f>'Brd Link'!I57</f>
        <v>2079282.070390793</v>
      </c>
      <c r="W54" s="436">
        <f t="shared" ref="W54" si="108">LN(V54)</f>
        <v>14.547533233630642</v>
      </c>
      <c r="X54" s="436">
        <f t="shared" ref="X54" si="109">W54^2</f>
        <v>211.630723183588</v>
      </c>
      <c r="Y54" s="436">
        <f t="shared" si="49"/>
        <v>0.97166025872045636</v>
      </c>
      <c r="Z54" s="437">
        <f t="shared" ref="Z54" si="110">Y54^2</f>
        <v>0.9441236583767042</v>
      </c>
      <c r="AA54" s="796">
        <f>'Brd Link'!J57</f>
        <v>105815.567379157</v>
      </c>
      <c r="AB54" s="436">
        <f t="shared" ref="AB54" si="111">LN(AA54)</f>
        <v>11.569452927271929</v>
      </c>
      <c r="AC54" s="436">
        <f t="shared" ref="AC54" si="112">AB54^2</f>
        <v>133.85224103636099</v>
      </c>
      <c r="AD54" s="436">
        <f t="shared" si="50"/>
        <v>-2.0064200476382577</v>
      </c>
      <c r="AE54" s="437">
        <f t="shared" ref="AE54" si="113">AD54^2</f>
        <v>4.0257214075647081</v>
      </c>
      <c r="AF54" s="435">
        <f t="shared" si="51"/>
        <v>2013</v>
      </c>
      <c r="AG54" s="795">
        <f>'Brd Link'!L57</f>
        <v>294027.60562278749</v>
      </c>
      <c r="AH54" s="436">
        <f t="shared" ref="AH54" si="114">LN(AG54)</f>
        <v>12.591428938588949</v>
      </c>
      <c r="AI54" s="436">
        <f t="shared" ref="AI54" si="115">AH54^2</f>
        <v>158.54408271553524</v>
      </c>
      <c r="AJ54" s="436">
        <f t="shared" ref="AJ54" si="116">LN(AG54/$B54)</f>
        <v>-0.98444403632123623</v>
      </c>
      <c r="AK54" s="437">
        <f t="shared" ref="AK54" si="117">AJ54^2</f>
        <v>0.96913006064844742</v>
      </c>
      <c r="AL54" s="47"/>
      <c r="AM54" s="23">
        <v>2007</v>
      </c>
      <c r="AN54" s="442">
        <f>AG54+AA54+V54+P54+K54+E54</f>
        <v>3016990.7602602304</v>
      </c>
      <c r="AO54" s="436">
        <f t="shared" ref="AO54" si="118">LN(AN54)</f>
        <v>14.919770455577751</v>
      </c>
      <c r="AP54" s="436">
        <f t="shared" ref="AP54" si="119">AO54^2</f>
        <v>222.59955044713075</v>
      </c>
      <c r="AQ54" s="436">
        <f t="shared" ref="AQ54" si="120">LN(AN54/$B54)</f>
        <v>1.3438974806675656</v>
      </c>
      <c r="AR54" s="437">
        <f t="shared" ref="AR54" si="121">AQ54^2</f>
        <v>1.8060604385446299</v>
      </c>
      <c r="AS54" s="774">
        <f>AN54/B54</f>
        <v>3.8339571976320515</v>
      </c>
      <c r="AT54" s="1117">
        <f>AN54-B54</f>
        <v>2230077.7602602304</v>
      </c>
    </row>
    <row r="55" spans="1:46">
      <c r="A55" s="405">
        <v>2008</v>
      </c>
      <c r="B55" s="129">
        <f>'Brd Link'!S58</f>
        <v>615240</v>
      </c>
      <c r="C55" s="436">
        <f t="shared" ref="C55" si="122">LN(B55)</f>
        <v>13.329767714565747</v>
      </c>
      <c r="D55" s="435">
        <f t="shared" si="78"/>
        <v>2011</v>
      </c>
      <c r="E55" s="129">
        <f>'Brd Link'!D58</f>
        <v>1305.1566504371583</v>
      </c>
      <c r="F55" s="436">
        <f t="shared" ref="F55" si="123">LN(E55)</f>
        <v>7.1740783512018949</v>
      </c>
      <c r="G55" s="436">
        <f t="shared" ref="G55" si="124">F55^2</f>
        <v>51.467400189183699</v>
      </c>
      <c r="H55" s="436">
        <f t="shared" si="61"/>
        <v>-6.1556893633638516</v>
      </c>
      <c r="I55" s="436">
        <f t="shared" ref="I55" si="125">H55^2</f>
        <v>37.892511538230863</v>
      </c>
      <c r="J55" s="435">
        <f t="shared" si="1"/>
        <v>2012</v>
      </c>
      <c r="K55" s="795">
        <f>'Brd Link'!E58</f>
        <v>66185.625305681635</v>
      </c>
      <c r="L55" s="436">
        <f t="shared" ref="L55" si="126">LN(K55)</f>
        <v>11.100218577949152</v>
      </c>
      <c r="M55" s="436">
        <f t="shared" ref="M55" si="127">L55^2</f>
        <v>123.21485247824748</v>
      </c>
      <c r="N55" s="436">
        <f t="shared" si="62"/>
        <v>-2.2295491366165949</v>
      </c>
      <c r="O55" s="436">
        <f t="shared" ref="O55" si="128">N55^2</f>
        <v>4.970889352587804</v>
      </c>
      <c r="P55" s="129">
        <f>'Brd Link'!F58</f>
        <v>456063.26080517849</v>
      </c>
      <c r="Q55" s="436">
        <f t="shared" ref="Q55" si="129">LN(P55)</f>
        <v>13.030386808710347</v>
      </c>
      <c r="R55" s="436">
        <f t="shared" ref="R55" si="130">Q55^2</f>
        <v>169.79098038461262</v>
      </c>
      <c r="S55" s="436">
        <f t="shared" si="63"/>
        <v>-0.29938090585539956</v>
      </c>
      <c r="T55" s="436">
        <f t="shared" ref="T55" si="131">S55^2</f>
        <v>8.9628926790799618E-2</v>
      </c>
      <c r="U55" s="435">
        <f t="shared" si="52"/>
        <v>2013</v>
      </c>
      <c r="V55" s="129">
        <f>'Brd Link'!I58</f>
        <v>1478040.9578396173</v>
      </c>
      <c r="W55" s="436">
        <f t="shared" ref="W55" si="132">LN(V55)</f>
        <v>14.206228091770475</v>
      </c>
      <c r="X55" s="436">
        <f t="shared" ref="X55" si="133">W55^2</f>
        <v>201.8169165954086</v>
      </c>
      <c r="Y55" s="436">
        <f t="shared" si="49"/>
        <v>0.87646037720472891</v>
      </c>
      <c r="Z55" s="437">
        <f t="shared" ref="Z55" si="134">Y55^2</f>
        <v>0.76818279280985569</v>
      </c>
      <c r="AA55" s="796">
        <f>'Brd Link'!J58</f>
        <v>85321.32444397136</v>
      </c>
      <c r="AB55" s="436">
        <f t="shared" ref="AB55" si="135">LN(AA55)</f>
        <v>11.3541796957181</v>
      </c>
      <c r="AC55" s="436">
        <f t="shared" ref="AC55" si="136">AB55^2</f>
        <v>128.91739656265716</v>
      </c>
      <c r="AD55" s="436">
        <f t="shared" si="50"/>
        <v>-1.9755880188476465</v>
      </c>
      <c r="AE55" s="437">
        <f t="shared" ref="AE55" si="137">AD55^2</f>
        <v>3.9029480202143687</v>
      </c>
      <c r="AF55" s="435">
        <f t="shared" si="51"/>
        <v>2014</v>
      </c>
      <c r="AG55" s="795">
        <f>'Brd Link'!L58</f>
        <v>179046.95112404649</v>
      </c>
      <c r="AH55" s="436">
        <f t="shared" ref="AH55" si="138">LN(AG55)</f>
        <v>12.095403347211487</v>
      </c>
      <c r="AI55" s="436">
        <f t="shared" ref="AI55" si="139">AH55^2</f>
        <v>146.29878213173484</v>
      </c>
      <c r="AJ55" s="436">
        <f t="shared" ref="AJ55" si="140">LN(AG55/$B55)</f>
        <v>-1.2343643673542586</v>
      </c>
      <c r="AK55" s="437">
        <f t="shared" ref="AK55" si="141">AJ55^2</f>
        <v>1.5236553913938791</v>
      </c>
      <c r="AL55" s="47"/>
      <c r="AM55" s="227">
        <v>2008</v>
      </c>
      <c r="AN55" s="442">
        <f t="shared" ref="AN55:AN56" si="142">AG55+AA55+V55+P55+K55+E55</f>
        <v>2265963.2761689322</v>
      </c>
      <c r="AO55" s="436">
        <f t="shared" ref="AO55:AO56" si="143">LN(AN55)</f>
        <v>14.63351051398198</v>
      </c>
      <c r="AP55" s="436">
        <f t="shared" ref="AP55:AP56" si="144">AO55^2</f>
        <v>214.13962996282115</v>
      </c>
      <c r="AQ55" s="436">
        <f t="shared" ref="AQ55:AQ56" si="145">LN(AN55/$B55)</f>
        <v>1.3037427994162341</v>
      </c>
      <c r="AR55" s="437">
        <f t="shared" ref="AR55:AR56" si="146">AQ55^2</f>
        <v>1.6997452870296788</v>
      </c>
      <c r="AS55"/>
      <c r="AT55" s="1117"/>
    </row>
    <row r="56" spans="1:46">
      <c r="A56" s="405">
        <v>2009</v>
      </c>
      <c r="B56" s="129">
        <f>'Brd Link'!S59</f>
        <v>604964</v>
      </c>
      <c r="C56" s="436">
        <f t="shared" ref="C56" si="147">LN(B56)</f>
        <v>13.312924231110307</v>
      </c>
      <c r="D56" s="435">
        <f t="shared" si="78"/>
        <v>2012</v>
      </c>
      <c r="E56" s="129">
        <f>'Brd Link'!D59</f>
        <v>2886.4787766376294</v>
      </c>
      <c r="F56" s="436">
        <f t="shared" ref="F56" si="148">LN(E56)</f>
        <v>7.9677926218453861</v>
      </c>
      <c r="G56" s="436">
        <f t="shared" ref="G56" si="149">F56^2</f>
        <v>63.485719264733774</v>
      </c>
      <c r="H56" s="436">
        <f t="shared" si="61"/>
        <v>-5.3451316092649197</v>
      </c>
      <c r="I56" s="436">
        <f t="shared" ref="I56" si="150">H56^2</f>
        <v>28.570431920362989</v>
      </c>
      <c r="J56" s="435">
        <f t="shared" si="1"/>
        <v>2013</v>
      </c>
      <c r="K56" s="795">
        <f>'Brd Link'!E59</f>
        <v>21868.070898967042</v>
      </c>
      <c r="L56" s="436">
        <f t="shared" ref="L56" si="151">LN(K56)</f>
        <v>9.9927829021427534</v>
      </c>
      <c r="M56" s="436">
        <f t="shared" ref="M56" si="152">L56^2</f>
        <v>99.855710129356552</v>
      </c>
      <c r="N56" s="436">
        <f t="shared" si="62"/>
        <v>-3.3201413289675528</v>
      </c>
      <c r="O56" s="436">
        <f t="shared" ref="O56" si="153">N56^2</f>
        <v>11.023338444318428</v>
      </c>
      <c r="P56" s="129">
        <f>'Brd Link'!F59</f>
        <v>650733.61710635398</v>
      </c>
      <c r="Q56" s="436">
        <f>LN(P56)</f>
        <v>13.385855647136685</v>
      </c>
      <c r="R56" s="436">
        <f t="shared" ref="R56" si="154">Q56^2</f>
        <v>179.18113140598109</v>
      </c>
      <c r="S56" s="436">
        <f t="shared" si="63"/>
        <v>7.2931416026379176E-2</v>
      </c>
      <c r="T56" s="436">
        <f t="shared" ref="T56" si="155">S56^2</f>
        <v>5.318991443612797E-3</v>
      </c>
      <c r="U56" s="435">
        <f t="shared" si="52"/>
        <v>2014</v>
      </c>
      <c r="V56" s="129">
        <f>'Brd Link'!I59</f>
        <v>1875957.0948617512</v>
      </c>
      <c r="W56" s="436">
        <f t="shared" ref="W56" si="156">LN(V56)</f>
        <v>14.444629537743996</v>
      </c>
      <c r="X56" s="436">
        <f t="shared" ref="X56" si="157">W56^2</f>
        <v>208.64732248266634</v>
      </c>
      <c r="Y56" s="436">
        <f t="shared" ref="Y56" si="158">LN(V56/$B56)</f>
        <v>1.1317053066336897</v>
      </c>
      <c r="Z56" s="437">
        <f t="shared" ref="Z56" si="159">Y56^2</f>
        <v>1.2807569010628537</v>
      </c>
      <c r="AA56" s="796">
        <f>'Brd Link'!J59</f>
        <v>88660.226537754381</v>
      </c>
      <c r="AB56" s="436">
        <f t="shared" ref="AB56" si="160">LN(AA56)</f>
        <v>11.392566663424974</v>
      </c>
      <c r="AC56" s="436">
        <f t="shared" ref="AC56" si="161">AB56^2</f>
        <v>129.79057518058204</v>
      </c>
      <c r="AD56" s="436">
        <f t="shared" ref="AD56" si="162">LN(AA56/$B56)</f>
        <v>-1.9203575676853313</v>
      </c>
      <c r="AE56" s="437">
        <f t="shared" ref="AE56" si="163">AD56^2</f>
        <v>3.6877731877663216</v>
      </c>
      <c r="AF56" s="435">
        <f t="shared" si="51"/>
        <v>2015</v>
      </c>
      <c r="AG56" s="795"/>
      <c r="AH56" s="436"/>
      <c r="AI56" s="436"/>
      <c r="AJ56" s="436"/>
      <c r="AK56" s="437"/>
      <c r="AL56" s="47"/>
      <c r="AM56" s="227">
        <v>2009</v>
      </c>
      <c r="AN56" s="442">
        <f t="shared" si="142"/>
        <v>2640105.4881814639</v>
      </c>
      <c r="AO56" s="436">
        <f t="shared" si="143"/>
        <v>14.786329431968708</v>
      </c>
      <c r="AP56" s="436">
        <f t="shared" si="144"/>
        <v>218.63553807070406</v>
      </c>
      <c r="AQ56" s="436">
        <f t="shared" si="145"/>
        <v>1.4734052008584013</v>
      </c>
      <c r="AR56" s="437">
        <f t="shared" si="146"/>
        <v>2.1709228859165859</v>
      </c>
      <c r="AS56"/>
      <c r="AT56" s="1117"/>
    </row>
    <row r="57" spans="1:46">
      <c r="A57" s="405">
        <v>2010</v>
      </c>
      <c r="B57" s="129">
        <f>'Brd Link'!S60</f>
        <v>668242</v>
      </c>
      <c r="C57" s="436">
        <f t="shared" ref="C57:C58" si="164">LN(B57)</f>
        <v>13.412405662361978</v>
      </c>
      <c r="D57" s="435">
        <f t="shared" si="78"/>
        <v>2013</v>
      </c>
      <c r="E57" s="129">
        <f>'Brd Link'!D60</f>
        <v>1640.2265185314393</v>
      </c>
      <c r="F57" s="436">
        <f t="shared" ref="F57" si="165">LN(E57)</f>
        <v>7.4025896323361646</v>
      </c>
      <c r="G57" s="436">
        <f t="shared" ref="G57" si="166">F57^2</f>
        <v>54.798333264770875</v>
      </c>
      <c r="H57" s="436">
        <f t="shared" si="61"/>
        <v>-6.0098160300258137</v>
      </c>
      <c r="I57" s="436">
        <f t="shared" ref="I57" si="167">H57^2</f>
        <v>36.117888714755232</v>
      </c>
      <c r="J57" s="435">
        <f t="shared" si="1"/>
        <v>2014</v>
      </c>
      <c r="K57" s="795">
        <f>'Brd Link'!E60</f>
        <v>13485.463639855541</v>
      </c>
      <c r="L57" s="436">
        <f t="shared" ref="L57" si="168">LN(K57)</f>
        <v>9.5093676168778956</v>
      </c>
      <c r="M57" s="436">
        <f t="shared" ref="M57" si="169">L57^2</f>
        <v>90.42807247292599</v>
      </c>
      <c r="N57" s="436">
        <f t="shared" si="62"/>
        <v>-3.9030380454840832</v>
      </c>
      <c r="O57" s="436">
        <f t="shared" ref="O57" si="170">N57^2</f>
        <v>15.233705984496211</v>
      </c>
      <c r="P57" s="129">
        <f>'Brd Link'!F60</f>
        <v>696926.54247166798</v>
      </c>
      <c r="Q57" s="436">
        <f>LN(P57)</f>
        <v>13.454435293186728</v>
      </c>
      <c r="R57" s="436">
        <f t="shared" ref="R57" si="171">Q57^2</f>
        <v>181.02182905854863</v>
      </c>
      <c r="S57" s="436">
        <f t="shared" si="63"/>
        <v>4.2029630824749462E-2</v>
      </c>
      <c r="T57" s="436">
        <f t="shared" ref="T57" si="172">S57^2</f>
        <v>1.7664898672647301E-3</v>
      </c>
      <c r="U57" s="23"/>
      <c r="V57" s="138"/>
      <c r="Z57" s="47"/>
      <c r="AA57" s="136"/>
      <c r="AD57" s="436"/>
      <c r="AE57" s="437"/>
      <c r="AF57" s="23"/>
      <c r="AG57" s="135"/>
      <c r="AK57" s="47"/>
      <c r="AL57" s="47"/>
      <c r="AM57" s="23">
        <v>2010</v>
      </c>
      <c r="AN57" s="442"/>
      <c r="AO57" s="436"/>
      <c r="AP57" s="436"/>
      <c r="AQ57" s="436"/>
      <c r="AR57" s="437"/>
      <c r="AS57"/>
      <c r="AT57" s="1117"/>
    </row>
    <row r="58" spans="1:46">
      <c r="A58" s="405">
        <v>2011</v>
      </c>
      <c r="B58" s="129">
        <f>'Brd Link'!S61</f>
        <v>759798</v>
      </c>
      <c r="C58" s="436">
        <f t="shared" si="164"/>
        <v>13.540807887460547</v>
      </c>
      <c r="D58" s="435">
        <f t="shared" si="78"/>
        <v>2014</v>
      </c>
      <c r="E58" s="129">
        <f>'Brd Link'!D61</f>
        <v>11010.173564230177</v>
      </c>
      <c r="F58" s="436">
        <f t="shared" ref="F58" si="173">LN(E58)</f>
        <v>9.3065749938277289</v>
      </c>
      <c r="G58" s="436">
        <f t="shared" ref="G58" si="174">F58^2</f>
        <v>86.61233811573959</v>
      </c>
      <c r="H58" s="436">
        <f t="shared" ref="H58" si="175">LN(E58/$B58)</f>
        <v>-4.2342328936328189</v>
      </c>
      <c r="I58" s="436">
        <f t="shared" ref="I58" si="176">H58^2</f>
        <v>17.928728197522155</v>
      </c>
      <c r="J58" s="435"/>
      <c r="K58" s="15"/>
      <c r="P58" s="138"/>
      <c r="T58" s="2"/>
      <c r="U58" s="23"/>
      <c r="V58" s="138"/>
      <c r="Z58" s="47"/>
      <c r="AA58" s="136"/>
      <c r="AD58" s="436"/>
      <c r="AE58" s="437"/>
      <c r="AF58" s="23"/>
      <c r="AG58" s="135"/>
      <c r="AK58" s="47"/>
      <c r="AL58" s="47"/>
      <c r="AM58" s="227"/>
      <c r="AN58" s="139"/>
      <c r="AR58" s="47"/>
      <c r="AS58"/>
      <c r="AT58" s="1117"/>
    </row>
    <row r="59" spans="1:46">
      <c r="A59" s="405"/>
      <c r="B59" s="129"/>
      <c r="C59" s="436"/>
      <c r="D59" s="435"/>
      <c r="E59" s="130"/>
      <c r="F59" s="436"/>
      <c r="G59" s="436"/>
      <c r="H59" s="436"/>
      <c r="I59" s="436"/>
      <c r="J59" s="435"/>
      <c r="K59" s="15"/>
      <c r="P59" s="138"/>
      <c r="T59" s="2"/>
      <c r="U59" s="23"/>
      <c r="V59" s="138"/>
      <c r="Z59" s="47"/>
      <c r="AA59" s="136"/>
      <c r="AD59" s="436"/>
      <c r="AE59" s="437"/>
      <c r="AF59" s="23"/>
      <c r="AG59" s="135"/>
      <c r="AK59" s="47"/>
      <c r="AL59" s="47"/>
      <c r="AM59" s="227"/>
      <c r="AN59" s="139"/>
      <c r="AR59" s="47"/>
      <c r="AS59"/>
      <c r="AT59" s="1117"/>
    </row>
    <row r="60" spans="1:46">
      <c r="A60" s="26"/>
      <c r="B60" s="140"/>
      <c r="C60" s="141"/>
      <c r="D60" s="26"/>
      <c r="E60" s="130"/>
      <c r="F60" s="42"/>
      <c r="G60" s="42"/>
      <c r="H60" s="42"/>
      <c r="I60" s="42"/>
      <c r="J60" s="26"/>
      <c r="K60" s="42"/>
      <c r="L60" s="42"/>
      <c r="M60" s="42"/>
      <c r="N60" s="42"/>
      <c r="O60" s="42"/>
      <c r="P60" s="142"/>
      <c r="Q60" s="42"/>
      <c r="R60" s="42"/>
      <c r="S60" s="42"/>
      <c r="T60" s="42"/>
      <c r="U60" s="26"/>
      <c r="V60" s="142"/>
      <c r="W60" s="42"/>
      <c r="X60" s="42"/>
      <c r="Y60" s="42"/>
      <c r="Z60" s="49"/>
      <c r="AA60" s="143"/>
      <c r="AB60" s="42"/>
      <c r="AC60" s="42"/>
      <c r="AD60" s="42"/>
      <c r="AE60" s="49"/>
      <c r="AF60" s="26"/>
      <c r="AG60" s="144"/>
      <c r="AH60" s="42"/>
      <c r="AI60" s="42"/>
      <c r="AJ60" s="42"/>
      <c r="AK60" s="49"/>
      <c r="AL60" s="49"/>
      <c r="AN60" s="27"/>
      <c r="AO60" s="42"/>
      <c r="AP60" s="42"/>
      <c r="AQ60" s="42"/>
      <c r="AR60" s="49"/>
      <c r="AS60"/>
      <c r="AT60"/>
    </row>
    <row r="61" spans="1:46">
      <c r="A61" s="36"/>
      <c r="B61" s="31"/>
      <c r="C61" s="31"/>
      <c r="D61" s="31"/>
      <c r="E61" s="31"/>
      <c r="F61" s="31"/>
      <c r="G61" s="31"/>
      <c r="H61" s="31"/>
      <c r="I61" s="31"/>
      <c r="J61" s="31"/>
      <c r="K61" s="31"/>
      <c r="L61" s="31"/>
      <c r="M61" s="31"/>
      <c r="N61" s="31"/>
      <c r="O61" s="31"/>
      <c r="P61" s="31"/>
      <c r="Q61" s="31"/>
      <c r="R61" s="31"/>
      <c r="S61" s="31"/>
      <c r="T61" s="31"/>
      <c r="U61" s="31"/>
      <c r="V61" s="31"/>
      <c r="W61" s="31"/>
      <c r="X61" s="31"/>
      <c r="Y61" s="31"/>
      <c r="Z61" s="31"/>
      <c r="AA61" s="31"/>
      <c r="AB61" s="31"/>
      <c r="AC61" s="31"/>
      <c r="AD61" s="31"/>
      <c r="AE61" s="31"/>
      <c r="AF61" s="31"/>
      <c r="AG61" s="31"/>
      <c r="AH61" s="31"/>
      <c r="AI61" s="31"/>
      <c r="AJ61" s="31"/>
      <c r="AK61" s="46"/>
      <c r="AL61" s="46"/>
      <c r="AM61" s="123" t="s">
        <v>128</v>
      </c>
      <c r="AN61" s="123"/>
      <c r="AS61" s="13" t="s">
        <v>145</v>
      </c>
    </row>
    <row r="62" spans="1:46">
      <c r="A62" s="23" t="s">
        <v>146</v>
      </c>
      <c r="B62" s="442">
        <f>AVERAGEA(B8:B60)</f>
        <v>531631.68074293889</v>
      </c>
      <c r="E62" s="442">
        <f>AVERAGEA(E8:E60)</f>
        <v>18280.92825787545</v>
      </c>
      <c r="K62" s="442">
        <f>AVERAGEA(K8:K60)</f>
        <v>85190.240503474604</v>
      </c>
      <c r="M62" s="275"/>
      <c r="P62" s="442">
        <f>AVERAGEA(P8:P60)</f>
        <v>253353.68220513631</v>
      </c>
      <c r="V62" s="442">
        <f>AVERAGEA(V8:V60)</f>
        <v>1104065.1148770142</v>
      </c>
      <c r="AA62" s="442">
        <f>AVERAGEA(AA8:AA60)</f>
        <v>28007.240754277071</v>
      </c>
      <c r="AG62" s="442">
        <f>AVERAGEA(AG8:AG60)</f>
        <v>115864.23401331015</v>
      </c>
      <c r="AK62" s="47"/>
      <c r="AL62" s="47"/>
      <c r="AM62" s="132"/>
      <c r="AN62" s="442">
        <f>AVERAGEA(AN8:AN60)</f>
        <v>1594922.6285857589</v>
      </c>
      <c r="AS62" s="14" t="s">
        <v>147</v>
      </c>
      <c r="AT62" s="14"/>
    </row>
    <row r="63" spans="1:46">
      <c r="A63" s="23" t="s">
        <v>104</v>
      </c>
      <c r="B63" s="442">
        <f>COUNTA(B8:B60)</f>
        <v>51</v>
      </c>
      <c r="E63" s="442">
        <f>COUNTA(E8:E60)</f>
        <v>50</v>
      </c>
      <c r="K63" s="442">
        <f>COUNTA(K8:K60)</f>
        <v>50</v>
      </c>
      <c r="P63" s="442">
        <f>COUNTA(P8:P60)</f>
        <v>50</v>
      </c>
      <c r="V63" s="442">
        <f>COUNTA(V8:V60)</f>
        <v>49</v>
      </c>
      <c r="AA63" s="442">
        <f>COUNTA(AA8:AA60)</f>
        <v>49</v>
      </c>
      <c r="AG63" s="442">
        <f>COUNTA(AG8:AG60)</f>
        <v>48</v>
      </c>
      <c r="AK63" s="47"/>
      <c r="AL63" s="47"/>
      <c r="AM63" s="132"/>
      <c r="AN63" s="442">
        <f>COUNTA(AN8:AN60)</f>
        <v>49</v>
      </c>
      <c r="AS63" s="14" t="s">
        <v>148</v>
      </c>
      <c r="AT63" s="14"/>
    </row>
    <row r="64" spans="1:46">
      <c r="A64" s="23" t="s">
        <v>149</v>
      </c>
      <c r="B64" s="442">
        <f>STDEVPA(B8:B60)</f>
        <v>183018.12206919436</v>
      </c>
      <c r="E64" s="442">
        <f>STDEVPA(E8:E60)</f>
        <v>26163.754589672346</v>
      </c>
      <c r="K64" s="442">
        <f>STDEVPA(K8:K60)</f>
        <v>119657.89012116232</v>
      </c>
      <c r="P64" s="442">
        <f>STDEVPA(P8:P60)</f>
        <v>150946.50136082669</v>
      </c>
      <c r="V64" s="442">
        <f>STDEVPA(V8:V60)</f>
        <v>493574.43094075954</v>
      </c>
      <c r="AA64" s="442">
        <f>STDEVPA(AA8:AA60)</f>
        <v>22924.819340856353</v>
      </c>
      <c r="AG64" s="442">
        <f>STDEVPA(AG8:AG60)</f>
        <v>75570.380255032127</v>
      </c>
      <c r="AK64" s="47"/>
      <c r="AL64" s="47"/>
      <c r="AM64" s="132"/>
      <c r="AN64" s="442">
        <f>STDEVPA(AN8:AN60)</f>
        <v>673777.44737547776</v>
      </c>
      <c r="AS64" s="137"/>
    </row>
    <row r="65" spans="1:40">
      <c r="A65" s="23" t="s">
        <v>150</v>
      </c>
      <c r="B65" s="446">
        <f>VLOOKUP(B63-1,ttab!$A$4:$G$44,4)</f>
        <v>1.2989999999999999</v>
      </c>
      <c r="E65" s="446">
        <f>VLOOKUP(E63-1,ttab!$A$4:$G$44,4)</f>
        <v>1.3009999999999999</v>
      </c>
      <c r="K65" s="446">
        <f>VLOOKUP(K63-1,ttab!$A$4:$G$44,4)</f>
        <v>1.3009999999999999</v>
      </c>
      <c r="P65" s="446">
        <f>VLOOKUP(P63-1,ttab!$A$4:$G$44,4)</f>
        <v>1.3009999999999999</v>
      </c>
      <c r="V65" s="446">
        <f>VLOOKUP(V63-1,ttab!$A$4:$G$44,4)</f>
        <v>1.3009999999999999</v>
      </c>
      <c r="AA65" s="446">
        <f>VLOOKUP(AA63-1,ttab!$A$4:$G$44,4)</f>
        <v>1.3009999999999999</v>
      </c>
      <c r="AG65" s="446">
        <f>VLOOKUP(AG63-1,ttab!$A$4:$G$44,4)</f>
        <v>1.3009999999999999</v>
      </c>
      <c r="AK65" s="47"/>
      <c r="AL65" s="47"/>
      <c r="AM65" s="132"/>
      <c r="AN65" s="446">
        <f>VLOOKUP(AN63-1,ttab!$A$4:$G$44,4)</f>
        <v>1.3009999999999999</v>
      </c>
    </row>
    <row r="66" spans="1:40">
      <c r="A66" s="26"/>
      <c r="B66" s="42"/>
      <c r="C66" s="42"/>
      <c r="D66" s="42"/>
      <c r="E66" s="42"/>
      <c r="F66" s="42"/>
      <c r="G66" s="42"/>
      <c r="H66" s="42"/>
      <c r="I66" s="42"/>
      <c r="J66" s="42"/>
      <c r="K66" s="42" t="s">
        <v>151</v>
      </c>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9"/>
      <c r="AL66" s="49"/>
      <c r="AM66" s="27"/>
      <c r="AN66" s="27"/>
    </row>
    <row r="68" spans="1:40">
      <c r="A68" s="862" t="s">
        <v>146</v>
      </c>
      <c r="B68" s="862" t="s">
        <v>525</v>
      </c>
      <c r="C68" s="862"/>
      <c r="D68" s="862"/>
      <c r="E68" s="862"/>
      <c r="F68" s="862"/>
      <c r="G68" s="862"/>
      <c r="H68" s="862"/>
      <c r="I68" s="862"/>
      <c r="J68" s="862"/>
      <c r="K68" s="862"/>
      <c r="L68" s="862"/>
      <c r="M68" s="862"/>
      <c r="N68" s="862"/>
      <c r="O68" s="862"/>
      <c r="P68" s="862"/>
      <c r="Q68" s="862"/>
      <c r="R68" s="862"/>
      <c r="S68" s="862"/>
      <c r="T68" s="862"/>
      <c r="U68" s="862"/>
      <c r="V68" s="862"/>
      <c r="W68" s="862"/>
      <c r="X68" s="862"/>
      <c r="Y68" s="862"/>
      <c r="Z68" s="862"/>
      <c r="AA68" s="862"/>
      <c r="AB68" s="862"/>
      <c r="AC68" s="862"/>
      <c r="AD68" s="862"/>
      <c r="AE68" s="862"/>
      <c r="AF68" s="862"/>
      <c r="AG68" s="862"/>
      <c r="AH68" s="862"/>
      <c r="AI68" s="862"/>
      <c r="AJ68" s="862"/>
      <c r="AK68" s="862"/>
    </row>
    <row r="69" spans="1:40">
      <c r="A69" s="862">
        <v>5</v>
      </c>
      <c r="B69" s="919">
        <f>AVERAGE(INDEX(B$8:B$60,COUNT(A$8:A$60),0):INDEX(B$8:B$60,COUNT(A$8:A$60)-$A69+1,0))</f>
        <v>687031.4</v>
      </c>
      <c r="C69" s="894"/>
      <c r="D69" s="894"/>
      <c r="E69" s="919">
        <f>AVERAGE(INDEX(E$8:E$60,COUNT(D$8:D$60),0):INDEX(E$8:E$60,COUNT(D$8:D$60)-$A69+1,0))</f>
        <v>4792.9841587990059</v>
      </c>
      <c r="F69" s="894"/>
      <c r="G69" s="894"/>
      <c r="H69" s="894"/>
      <c r="I69" s="894"/>
      <c r="J69" s="894"/>
      <c r="K69" s="919">
        <f>AVERAGE(INDEX(K$8:K$60,COUNT(J$8:J$60),0):INDEX(K$8:K$60,COUNT(J$8:J$60)-$A69+1,0))</f>
        <v>41790.969273723545</v>
      </c>
      <c r="L69" s="894"/>
      <c r="M69" s="894"/>
      <c r="N69" s="894"/>
      <c r="O69" s="894"/>
      <c r="P69" s="919">
        <f>AVERAGE(INDEX(P$8:P$60,COUNT(O$8:O$60),0):INDEX(P$8:P$60,COUNT(O$8:O$60)-$A69+1,0))</f>
        <v>531235.15156953339</v>
      </c>
      <c r="Q69" s="894"/>
      <c r="R69" s="894"/>
      <c r="S69" s="894"/>
      <c r="T69" s="894"/>
      <c r="U69" s="894"/>
      <c r="V69" s="919">
        <f>AVERAGE(INDEX(V$8:V$60,COUNT(U$8:U$60),0):INDEX(V$8:V$60,COUNT(U$8:U$60)-$A69+1,0))</f>
        <v>1599238.6427045711</v>
      </c>
      <c r="W69" s="894"/>
      <c r="X69" s="894"/>
      <c r="Y69" s="894"/>
      <c r="Z69" s="894"/>
      <c r="AA69" s="919">
        <f>AVERAGE(INDEX(AA$8:AA$60,COUNT(Z$8:Z$60),0):INDEX(AA$8:AA$60,COUNT(Z$8:Z$60)-$A69+1,0))</f>
        <v>69924.618977775812</v>
      </c>
      <c r="AB69" s="894"/>
      <c r="AC69" s="894"/>
      <c r="AD69" s="894"/>
      <c r="AE69" s="894"/>
      <c r="AF69" s="894"/>
      <c r="AG69" s="919">
        <f>AVERAGE(INDEX(AG$8:AG$60,COUNT(AF$8:AF$60),0):INDEX(AG$8:AG$60,COUNT(AF$8:AF$60)-$A69+1,0))</f>
        <v>176706.53158531699</v>
      </c>
      <c r="AH69" s="894"/>
      <c r="AI69" s="894"/>
      <c r="AJ69" s="894"/>
      <c r="AK69" s="894"/>
      <c r="AL69" s="894"/>
      <c r="AM69" s="894"/>
      <c r="AN69" s="919">
        <f>AVERAGE(INDEX(AN$8:AN$60,COUNT(AM$8:AM$60),0):INDEX(AN$8:AN$60,COUNT(AM$8:AM$60)-$A69+1,0))</f>
        <v>2585069.9947259068</v>
      </c>
    </row>
    <row r="70" spans="1:40">
      <c r="A70" s="862">
        <v>10</v>
      </c>
      <c r="B70" s="919">
        <f>AVERAGE(INDEX(B$8:B$60,COUNT(A$8:A$60),0):INDEX(B$8:B$60,COUNT(A$8:A$60)-$A70+1,0))</f>
        <v>681618.93005605065</v>
      </c>
      <c r="C70" s="894"/>
      <c r="D70" s="894"/>
      <c r="E70" s="919">
        <f>AVERAGE(INDEX(E$8:E$60,COUNT(D$8:D$60),0):INDEX(E$8:E$60,COUNT(D$8:D$60)-$A70+1,0))</f>
        <v>6387.5538701231244</v>
      </c>
      <c r="F70" s="894"/>
      <c r="G70" s="894"/>
      <c r="H70" s="894"/>
      <c r="I70" s="894"/>
      <c r="J70" s="894"/>
      <c r="K70" s="919">
        <f>AVERAGE(INDEX(K$8:K$60,COUNT(J$8:J$60),0):INDEX(K$8:K$60,COUNT(J$8:J$60)-$A70+1,0))</f>
        <v>55356.634632845664</v>
      </c>
      <c r="L70" s="894"/>
      <c r="M70" s="894"/>
      <c r="N70" s="894"/>
      <c r="O70" s="894"/>
      <c r="P70" s="919">
        <f>AVERAGE(INDEX(P$8:P$60,COUNT(O$8:O$60),0):INDEX(P$8:P$60,COUNT(O$8:O$60)-$A70+1,0))</f>
        <v>391200.52534641995</v>
      </c>
      <c r="Q70" s="894"/>
      <c r="R70" s="894"/>
      <c r="S70" s="894"/>
      <c r="T70" s="894"/>
      <c r="U70" s="894"/>
      <c r="V70" s="919">
        <f>AVERAGE(INDEX(V$8:V$60,COUNT(U$8:U$60),0):INDEX(V$8:V$60,COUNT(U$8:U$60)-$A70+1,0))</f>
        <v>1492130.5364062022</v>
      </c>
      <c r="W70" s="894"/>
      <c r="X70" s="894"/>
      <c r="Y70" s="894"/>
      <c r="Z70" s="894"/>
      <c r="AA70" s="919">
        <f>AVERAGE(INDEX(AA$8:AA$60,COUNT(Z$8:Z$60),0):INDEX(AA$8:AA$60,COUNT(Z$8:Z$60)-$A70+1,0))</f>
        <v>52483.958358303316</v>
      </c>
      <c r="AB70" s="894"/>
      <c r="AC70" s="894"/>
      <c r="AD70" s="894"/>
      <c r="AE70" s="894"/>
      <c r="AF70" s="894"/>
      <c r="AG70" s="919">
        <f>AVERAGE(INDEX(AG$8:AG$60,COUNT(AF$8:AF$60),0):INDEX(AG$8:AG$60,COUNT(AF$8:AF$60)-$A70+1,0))</f>
        <v>179614.41503295136</v>
      </c>
      <c r="AH70" s="894"/>
      <c r="AI70" s="894"/>
      <c r="AJ70" s="894"/>
      <c r="AK70" s="894"/>
      <c r="AL70" s="894"/>
      <c r="AM70" s="894"/>
      <c r="AN70" s="919">
        <f>AVERAGE(INDEX(AN$8:AN$60,COUNT($A$8:$A$60),0):INDEX(AN$8:AN$60,COUNT($A$8:$A$60)-$A70+1,0))</f>
        <v>2122008.5617540115</v>
      </c>
    </row>
    <row r="72" spans="1:40">
      <c r="B72" s="275"/>
      <c r="E72" s="534">
        <f>E69-E62</f>
        <v>-13487.944099076445</v>
      </c>
      <c r="K72" s="534">
        <f>K69-K62</f>
        <v>-43399.271229751059</v>
      </c>
      <c r="P72" s="534">
        <f>P69-P62</f>
        <v>277881.46936439711</v>
      </c>
      <c r="V72" s="534">
        <f>V69-V62</f>
        <v>495173.52782755694</v>
      </c>
      <c r="AA72" s="534">
        <f>AA69-AA62</f>
        <v>41917.378223498745</v>
      </c>
      <c r="AG72" s="534">
        <f>AG69-AG62</f>
        <v>60842.297572006835</v>
      </c>
      <c r="AK72" s="534">
        <f>SUM(E72:AG72)</f>
        <v>818927.45765863208</v>
      </c>
    </row>
    <row r="73" spans="1:40">
      <c r="B73" s="275"/>
    </row>
    <row r="74" spans="1:40">
      <c r="E74" s="275"/>
      <c r="K74" s="275"/>
      <c r="P74" s="275"/>
      <c r="V74" s="275"/>
      <c r="AA74" s="275"/>
      <c r="AG74" s="275"/>
    </row>
    <row r="75" spans="1:40">
      <c r="E75" s="275"/>
      <c r="K75" s="275"/>
      <c r="P75" s="275"/>
      <c r="V75" s="275"/>
      <c r="AA75" s="275"/>
      <c r="AG75" s="275"/>
    </row>
    <row r="81" spans="11:14">
      <c r="K81" s="418" t="s">
        <v>322</v>
      </c>
      <c r="L81" s="418" t="s">
        <v>128</v>
      </c>
      <c r="M81" s="418" t="s">
        <v>296</v>
      </c>
      <c r="N81" s="418" t="s">
        <v>323</v>
      </c>
    </row>
    <row r="82" spans="11:14">
      <c r="K82" s="419" t="s">
        <v>321</v>
      </c>
      <c r="L82" s="419" t="s">
        <v>321</v>
      </c>
      <c r="M82" s="419" t="s">
        <v>29</v>
      </c>
      <c r="N82" s="419" t="s">
        <v>128</v>
      </c>
    </row>
    <row r="83" spans="11:14">
      <c r="K83" s="13">
        <v>1.1000000000000001</v>
      </c>
      <c r="L83" s="13">
        <v>3</v>
      </c>
      <c r="M83" s="534">
        <f>E62</f>
        <v>18280.92825787545</v>
      </c>
      <c r="N83" s="797">
        <f t="shared" ref="N83:N88" si="177">M83/$M$89</f>
        <v>1.1391679657329089E-2</v>
      </c>
    </row>
    <row r="84" spans="11:14">
      <c r="K84" s="13">
        <v>0.3</v>
      </c>
      <c r="L84" s="13">
        <v>4</v>
      </c>
      <c r="M84" s="534">
        <f>K62</f>
        <v>85190.240503474604</v>
      </c>
      <c r="N84" s="797">
        <f t="shared" si="177"/>
        <v>5.3085921899416057E-2</v>
      </c>
    </row>
    <row r="85" spans="11:14">
      <c r="K85" s="13">
        <v>1.2</v>
      </c>
      <c r="L85" s="13">
        <v>4</v>
      </c>
      <c r="M85" s="534">
        <f>P62</f>
        <v>253353.68220513631</v>
      </c>
      <c r="N85" s="797">
        <f t="shared" si="177"/>
        <v>0.15787622745263624</v>
      </c>
    </row>
    <row r="86" spans="11:14">
      <c r="K86" s="13">
        <v>1.3</v>
      </c>
      <c r="L86" s="13">
        <v>5</v>
      </c>
      <c r="M86" s="534">
        <f>V62</f>
        <v>1104065.1148770142</v>
      </c>
      <c r="N86" s="797">
        <f t="shared" si="177"/>
        <v>0.68799329728198722</v>
      </c>
    </row>
    <row r="87" spans="11:14">
      <c r="K87" s="13">
        <v>2.2000000000000002</v>
      </c>
      <c r="L87" s="13">
        <v>5</v>
      </c>
      <c r="M87" s="534">
        <f>AA62</f>
        <v>28007.240754277071</v>
      </c>
      <c r="N87" s="797">
        <f t="shared" si="177"/>
        <v>1.7452588307214068E-2</v>
      </c>
    </row>
    <row r="88" spans="11:14">
      <c r="K88" s="419">
        <v>2.2999999999999998</v>
      </c>
      <c r="L88" s="419">
        <v>6</v>
      </c>
      <c r="M88" s="819">
        <f>AG62</f>
        <v>115864.23401331015</v>
      </c>
      <c r="N88" s="818">
        <f t="shared" si="177"/>
        <v>7.2200285401417319E-2</v>
      </c>
    </row>
    <row r="89" spans="11:14">
      <c r="M89" s="534">
        <f>SUM(M83:M88)</f>
        <v>1604761.4406110877</v>
      </c>
    </row>
  </sheetData>
  <phoneticPr fontId="60" type="noConversion"/>
  <printOptions horizontalCentered="1"/>
  <pageMargins left="0.5" right="0.5" top="0.75" bottom="0.5" header="0.5" footer="0.5"/>
  <pageSetup scale="86" orientation="landscape" horizontalDpi="300" verticalDpi="300"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2:E217"/>
  <sheetViews>
    <sheetView workbookViewId="0">
      <pane ySplit="3" topLeftCell="A4" activePane="bottomLeft" state="frozen"/>
      <selection activeCell="W48" sqref="W48"/>
      <selection pane="bottomLeft" activeCell="B4" sqref="B4"/>
    </sheetView>
  </sheetViews>
  <sheetFormatPr defaultRowHeight="15"/>
  <cols>
    <col min="4" max="4" width="10.44140625" customWidth="1"/>
  </cols>
  <sheetData>
    <row r="2" spans="1:5">
      <c r="B2" t="s">
        <v>590</v>
      </c>
      <c r="E2" t="s">
        <v>591</v>
      </c>
    </row>
    <row r="3" spans="1:5">
      <c r="A3" s="13" t="s">
        <v>589</v>
      </c>
      <c r="B3" s="54" t="s">
        <v>142</v>
      </c>
      <c r="C3" s="54" t="s">
        <v>592</v>
      </c>
      <c r="D3" s="13" t="s">
        <v>588</v>
      </c>
      <c r="E3" t="s">
        <v>68</v>
      </c>
    </row>
    <row r="4" spans="1:5">
      <c r="A4" s="816">
        <f>'Brd Tbl'!J8</f>
        <v>1965</v>
      </c>
      <c r="B4" s="534">
        <f>'Brd Tbl'!P8</f>
        <v>179040.49850974398</v>
      </c>
      <c r="C4" s="1002">
        <f>'Brd Tbl'!Q8</f>
        <v>12.095367307890312</v>
      </c>
      <c r="D4" s="816">
        <f>A4+1</f>
        <v>1966</v>
      </c>
      <c r="E4" s="514">
        <f>'Rank data'!B94</f>
        <v>1426968</v>
      </c>
    </row>
    <row r="5" spans="1:5">
      <c r="A5" s="816">
        <f>'Brd Tbl'!J9</f>
        <v>1966</v>
      </c>
      <c r="B5" s="534">
        <f>'Brd Tbl'!P9</f>
        <v>102401.66367310109</v>
      </c>
      <c r="C5" s="1002">
        <f>'Brd Tbl'!Q9</f>
        <v>11.536658238263195</v>
      </c>
      <c r="D5" s="816">
        <f t="shared" ref="D5:D52" si="0">A5+1</f>
        <v>1967</v>
      </c>
      <c r="E5" s="514">
        <f>'Rank data'!B95</f>
        <v>704978</v>
      </c>
    </row>
    <row r="6" spans="1:5">
      <c r="A6" s="816">
        <f>'Brd Tbl'!J10</f>
        <v>1967</v>
      </c>
      <c r="B6" s="534">
        <f>'Brd Tbl'!P10</f>
        <v>97592.469650151805</v>
      </c>
      <c r="C6" s="1002">
        <f>'Brd Tbl'!Q10</f>
        <v>11.488555614200711</v>
      </c>
      <c r="D6" s="816">
        <f t="shared" si="0"/>
        <v>1968</v>
      </c>
      <c r="E6" s="514">
        <f>'Rank data'!B96</f>
        <v>848112</v>
      </c>
    </row>
    <row r="7" spans="1:5">
      <c r="A7" s="816">
        <f>'Brd Tbl'!J11</f>
        <v>1968</v>
      </c>
      <c r="B7" s="534">
        <f>'Brd Tbl'!P11</f>
        <v>290718.45227450889</v>
      </c>
      <c r="C7" s="1002">
        <f>'Brd Tbl'!Q11</f>
        <v>12.580110559849002</v>
      </c>
      <c r="D7" s="816">
        <f t="shared" si="0"/>
        <v>1969</v>
      </c>
      <c r="E7" s="514">
        <f>'Rank data'!B97</f>
        <v>1278538</v>
      </c>
    </row>
    <row r="8" spans="1:5">
      <c r="A8" s="816">
        <f>'Brd Tbl'!J12</f>
        <v>1969</v>
      </c>
      <c r="B8" s="534">
        <f>'Brd Tbl'!P12</f>
        <v>386377.08528941998</v>
      </c>
      <c r="C8" s="1002">
        <f>'Brd Tbl'!Q12</f>
        <v>12.864569076480791</v>
      </c>
      <c r="D8" s="816">
        <f t="shared" si="0"/>
        <v>1970</v>
      </c>
      <c r="E8" s="514">
        <f>'Rank data'!B98</f>
        <v>1491682</v>
      </c>
    </row>
    <row r="9" spans="1:5">
      <c r="A9" s="816">
        <f>'Brd Tbl'!J13</f>
        <v>1970</v>
      </c>
      <c r="B9" s="534">
        <f>'Brd Tbl'!P13</f>
        <v>302159.62071066484</v>
      </c>
      <c r="C9" s="1002">
        <f>'Brd Tbl'!Q13</f>
        <v>12.618710702125638</v>
      </c>
      <c r="D9" s="816">
        <f t="shared" si="0"/>
        <v>1971</v>
      </c>
      <c r="E9" s="514">
        <f>'Rank data'!B99</f>
        <v>1250648</v>
      </c>
    </row>
    <row r="10" spans="1:5">
      <c r="A10" s="816">
        <f>'Brd Tbl'!J14</f>
        <v>1971</v>
      </c>
      <c r="B10" s="534">
        <f>'Brd Tbl'!P14</f>
        <v>97321.711125474932</v>
      </c>
      <c r="C10" s="1002">
        <f>'Brd Tbl'!Q14</f>
        <v>11.485777379207695</v>
      </c>
      <c r="D10" s="816">
        <f t="shared" si="0"/>
        <v>1972</v>
      </c>
      <c r="E10" s="514">
        <f>'Rank data'!B100</f>
        <v>1168448</v>
      </c>
    </row>
    <row r="11" spans="1:5">
      <c r="A11" s="816">
        <f>'Brd Tbl'!J15</f>
        <v>1972</v>
      </c>
      <c r="B11" s="534">
        <f>'Brd Tbl'!P15</f>
        <v>145881.52486171451</v>
      </c>
      <c r="C11" s="1002">
        <f>'Brd Tbl'!Q15</f>
        <v>11.890550097717687</v>
      </c>
      <c r="D11" s="816">
        <f t="shared" si="0"/>
        <v>1973</v>
      </c>
      <c r="E11" s="514">
        <f>'Rank data'!B101</f>
        <v>794980</v>
      </c>
    </row>
    <row r="12" spans="1:5">
      <c r="A12" s="816">
        <f>'Brd Tbl'!J16</f>
        <v>1973</v>
      </c>
      <c r="B12" s="534">
        <f>'Brd Tbl'!P16</f>
        <v>101514.29846521815</v>
      </c>
      <c r="C12" s="1002">
        <f>'Brd Tbl'!Q16</f>
        <v>11.527954939121013</v>
      </c>
      <c r="D12" s="816">
        <f t="shared" si="0"/>
        <v>1974</v>
      </c>
      <c r="E12" s="514">
        <f>'Rank data'!B102</f>
        <v>843680</v>
      </c>
    </row>
    <row r="13" spans="1:5">
      <c r="A13" s="816">
        <f>'Brd Tbl'!J17</f>
        <v>1974</v>
      </c>
      <c r="B13" s="534">
        <f>'Brd Tbl'!P17</f>
        <v>83934.462420078504</v>
      </c>
      <c r="C13" s="1002">
        <f>'Brd Tbl'!Q17</f>
        <v>11.337791564019003</v>
      </c>
      <c r="D13" s="816">
        <f t="shared" si="0"/>
        <v>1975</v>
      </c>
      <c r="E13" s="514">
        <f>'Rank data'!B103</f>
        <v>523359</v>
      </c>
    </row>
    <row r="14" spans="1:5">
      <c r="A14" s="816">
        <f>'Brd Tbl'!J18</f>
        <v>1975</v>
      </c>
      <c r="B14" s="534">
        <f>'Brd Tbl'!P18</f>
        <v>48348.917227885802</v>
      </c>
      <c r="C14" s="1002">
        <f>'Brd Tbl'!Q18</f>
        <v>10.786199106171235</v>
      </c>
      <c r="D14" s="816">
        <f t="shared" si="0"/>
        <v>1976</v>
      </c>
      <c r="E14" s="514">
        <f>'Rank data'!B104</f>
        <v>1137425</v>
      </c>
    </row>
    <row r="15" spans="1:5">
      <c r="A15" s="816">
        <f>'Brd Tbl'!J19</f>
        <v>1976</v>
      </c>
      <c r="B15" s="534">
        <f>'Brd Tbl'!P19</f>
        <v>140037.97254138521</v>
      </c>
      <c r="C15" s="1002">
        <f>'Brd Tbl'!Q19</f>
        <v>11.849668897253039</v>
      </c>
      <c r="D15" s="816">
        <f t="shared" si="0"/>
        <v>1977</v>
      </c>
      <c r="E15" s="514">
        <f>'Rank data'!B105</f>
        <v>1001564.2775033638</v>
      </c>
    </row>
    <row r="16" spans="1:5">
      <c r="A16" s="816">
        <f>'Brd Tbl'!J20</f>
        <v>1977</v>
      </c>
      <c r="B16" s="534">
        <f>'Brd Tbl'!P20</f>
        <v>30330.912651635219</v>
      </c>
      <c r="C16" s="1002">
        <f>'Brd Tbl'!Q20</f>
        <v>10.319922690953129</v>
      </c>
      <c r="D16" s="816">
        <f t="shared" si="0"/>
        <v>1978</v>
      </c>
      <c r="E16" s="514">
        <f>'Rank data'!B106</f>
        <v>510878.70547443983</v>
      </c>
    </row>
    <row r="17" spans="1:5">
      <c r="A17" s="816">
        <f>'Brd Tbl'!J21</f>
        <v>1978</v>
      </c>
      <c r="B17" s="534">
        <f>'Brd Tbl'!P21</f>
        <v>154457.91935439411</v>
      </c>
      <c r="C17" s="1002">
        <f>'Brd Tbl'!Q21</f>
        <v>11.947676971583181</v>
      </c>
      <c r="D17" s="816">
        <f t="shared" si="0"/>
        <v>1979</v>
      </c>
      <c r="E17" s="514">
        <f>'Rank data'!B107</f>
        <v>621659.1474358975</v>
      </c>
    </row>
    <row r="18" spans="1:5">
      <c r="A18" s="816">
        <f>'Brd Tbl'!J22</f>
        <v>1979</v>
      </c>
      <c r="B18" s="534">
        <f>'Brd Tbl'!P22</f>
        <v>68722.812745743839</v>
      </c>
      <c r="C18" s="1002">
        <f>'Brd Tbl'!Q22</f>
        <v>11.137836486346464</v>
      </c>
      <c r="D18" s="816">
        <f t="shared" si="0"/>
        <v>1980</v>
      </c>
      <c r="E18" s="514">
        <f>'Rank data'!B108</f>
        <v>660391.6797237664</v>
      </c>
    </row>
    <row r="19" spans="1:5">
      <c r="A19" s="816">
        <f>'Brd Tbl'!J23</f>
        <v>1980</v>
      </c>
      <c r="B19" s="534">
        <f>'Brd Tbl'!P23</f>
        <v>173715.68474284798</v>
      </c>
      <c r="C19" s="1002">
        <f>'Brd Tbl'!Q23</f>
        <v>12.065175246038875</v>
      </c>
      <c r="D19" s="816">
        <f t="shared" si="0"/>
        <v>1981</v>
      </c>
      <c r="E19" s="514">
        <f>'Rank data'!B109</f>
        <v>1322493.0318549268</v>
      </c>
    </row>
    <row r="20" spans="1:5">
      <c r="A20" s="816">
        <f>'Brd Tbl'!J24</f>
        <v>1981</v>
      </c>
      <c r="B20" s="534">
        <f>'Brd Tbl'!P24</f>
        <v>135148.94242353513</v>
      </c>
      <c r="C20" s="1002">
        <f>'Brd Tbl'!Q24</f>
        <v>11.814132726468909</v>
      </c>
      <c r="D20" s="816">
        <f t="shared" si="0"/>
        <v>1982</v>
      </c>
      <c r="E20" s="514">
        <f>'Rank data'!B110</f>
        <v>1895557.1797603075</v>
      </c>
    </row>
    <row r="21" spans="1:5">
      <c r="A21" s="816">
        <f>'Brd Tbl'!J25</f>
        <v>1982</v>
      </c>
      <c r="B21" s="534">
        <f>'Brd Tbl'!P25</f>
        <v>359995.48750384717</v>
      </c>
      <c r="C21" s="1002">
        <f>'Brd Tbl'!Q25</f>
        <v>12.793846775642196</v>
      </c>
      <c r="D21" s="816">
        <f t="shared" si="0"/>
        <v>1983</v>
      </c>
      <c r="E21" s="514">
        <f>'Rank data'!B111</f>
        <v>1428586.8681101864</v>
      </c>
    </row>
    <row r="22" spans="1:5">
      <c r="A22" s="816">
        <f>'Brd Tbl'!J26</f>
        <v>1983</v>
      </c>
      <c r="B22" s="534">
        <f>'Brd Tbl'!P26</f>
        <v>346502.19282529014</v>
      </c>
      <c r="C22" s="1002">
        <f>'Brd Tbl'!Q26</f>
        <v>12.755644426092186</v>
      </c>
      <c r="D22" s="816">
        <f t="shared" si="0"/>
        <v>1984</v>
      </c>
      <c r="E22" s="514">
        <f>'Rank data'!B112</f>
        <v>1811514.7361524117</v>
      </c>
    </row>
    <row r="23" spans="1:5">
      <c r="A23" s="816">
        <f>'Brd Tbl'!J27</f>
        <v>1984</v>
      </c>
      <c r="B23" s="534">
        <f>'Brd Tbl'!P27</f>
        <v>203458.33386630402</v>
      </c>
      <c r="C23" s="1002">
        <f>'Brd Tbl'!Q27</f>
        <v>12.223216515315409</v>
      </c>
      <c r="D23" s="816">
        <f t="shared" si="0"/>
        <v>1985</v>
      </c>
      <c r="E23" s="514">
        <f>'Rank data'!B113</f>
        <v>1604322.2163551403</v>
      </c>
    </row>
    <row r="24" spans="1:5">
      <c r="A24" s="816">
        <f>'Brd Tbl'!J28</f>
        <v>1985</v>
      </c>
      <c r="B24" s="534">
        <f>'Brd Tbl'!P28</f>
        <v>157083.49997006214</v>
      </c>
      <c r="C24" s="1002">
        <f>'Brd Tbl'!Q28</f>
        <v>11.964532789893058</v>
      </c>
      <c r="D24" s="816">
        <f t="shared" si="0"/>
        <v>1986</v>
      </c>
      <c r="E24" s="514">
        <f>'Rank data'!B114</f>
        <v>1332560.0055745668</v>
      </c>
    </row>
    <row r="25" spans="1:5">
      <c r="A25" s="816">
        <f>'Brd Tbl'!J29</f>
        <v>1986</v>
      </c>
      <c r="B25" s="534">
        <f>'Brd Tbl'!P29</f>
        <v>292198.40738779912</v>
      </c>
      <c r="C25" s="1002">
        <f>'Brd Tbl'!Q29</f>
        <v>12.585188327865673</v>
      </c>
      <c r="D25" s="816">
        <f t="shared" si="0"/>
        <v>1987</v>
      </c>
      <c r="E25" s="514">
        <f>'Rank data'!B115</f>
        <v>1718263.9938925835</v>
      </c>
    </row>
    <row r="26" spans="1:5">
      <c r="A26" s="816">
        <f>'Brd Tbl'!J30</f>
        <v>1987</v>
      </c>
      <c r="B26" s="534">
        <f>'Brd Tbl'!P30</f>
        <v>113889.25746653602</v>
      </c>
      <c r="C26" s="1002">
        <f>'Brd Tbl'!Q30</f>
        <v>11.642981829504725</v>
      </c>
      <c r="D26" s="816">
        <f t="shared" si="0"/>
        <v>1988</v>
      </c>
      <c r="E26" s="514">
        <f>'Rank data'!B116</f>
        <v>1042871.9759558276</v>
      </c>
    </row>
    <row r="27" spans="1:5">
      <c r="A27" s="816">
        <f>'Brd Tbl'!J31</f>
        <v>1988</v>
      </c>
      <c r="B27" s="534">
        <f>'Brd Tbl'!P31</f>
        <v>294557.28228182066</v>
      </c>
      <c r="C27" s="1002">
        <f>'Brd Tbl'!Q31</f>
        <v>12.593228770058985</v>
      </c>
      <c r="D27" s="816">
        <f t="shared" si="0"/>
        <v>1989</v>
      </c>
      <c r="E27" s="514">
        <f>'Rank data'!B117</f>
        <v>1509011.378424929</v>
      </c>
    </row>
    <row r="28" spans="1:5">
      <c r="A28" s="816">
        <f>'Brd Tbl'!J32</f>
        <v>1989</v>
      </c>
      <c r="B28" s="534">
        <f>'Brd Tbl'!P32</f>
        <v>240741.58041960336</v>
      </c>
      <c r="C28" s="1002">
        <f>'Brd Tbl'!Q32</f>
        <v>12.391479356752267</v>
      </c>
      <c r="D28" s="816">
        <f t="shared" si="0"/>
        <v>1990</v>
      </c>
      <c r="E28" s="514">
        <f>'Rank data'!B118</f>
        <v>1495101.0198381976</v>
      </c>
    </row>
    <row r="29" spans="1:5">
      <c r="A29" s="816">
        <f>'Brd Tbl'!J33</f>
        <v>1990</v>
      </c>
      <c r="B29" s="534">
        <f>'Brd Tbl'!P33</f>
        <v>283682.55642391811</v>
      </c>
      <c r="C29" s="1002">
        <f>'Brd Tbl'!Q33</f>
        <v>12.555611132914068</v>
      </c>
      <c r="D29" s="816">
        <f t="shared" si="0"/>
        <v>1991</v>
      </c>
      <c r="E29" s="514">
        <f>'Rank data'!B119</f>
        <v>1788048.9220859462</v>
      </c>
    </row>
    <row r="30" spans="1:5">
      <c r="A30" s="816">
        <f>'Brd Tbl'!J34</f>
        <v>1991</v>
      </c>
      <c r="B30" s="534">
        <f>'Brd Tbl'!P34</f>
        <v>229875.14425105081</v>
      </c>
      <c r="C30" s="1002">
        <f>'Brd Tbl'!Q34</f>
        <v>12.345291589425951</v>
      </c>
      <c r="D30" s="816">
        <f t="shared" si="0"/>
        <v>1992</v>
      </c>
      <c r="E30" s="514">
        <f>'Rank data'!B120</f>
        <v>1569573.0405643724</v>
      </c>
    </row>
    <row r="31" spans="1:5">
      <c r="A31" s="816">
        <f>'Brd Tbl'!J35</f>
        <v>1992</v>
      </c>
      <c r="B31" s="534">
        <f>'Brd Tbl'!P35</f>
        <v>237957.34811608869</v>
      </c>
      <c r="C31" s="1002">
        <f>'Brd Tbl'!Q35</f>
        <v>12.379846726997387</v>
      </c>
      <c r="D31" s="816">
        <f t="shared" si="0"/>
        <v>1993</v>
      </c>
      <c r="E31" s="514">
        <f>'Rank data'!B121</f>
        <v>2040314.1080709202</v>
      </c>
    </row>
    <row r="32" spans="1:5">
      <c r="A32" s="816">
        <f>'Brd Tbl'!J36</f>
        <v>1993</v>
      </c>
      <c r="B32" s="534">
        <f>'Brd Tbl'!P36</f>
        <v>249913.77094685714</v>
      </c>
      <c r="C32" s="1002">
        <f>'Brd Tbl'!Q36</f>
        <v>12.428871221134534</v>
      </c>
      <c r="D32" s="816">
        <f t="shared" si="0"/>
        <v>1994</v>
      </c>
      <c r="E32" s="514">
        <f>'Rank data'!B122</f>
        <v>1838664.2833961954</v>
      </c>
    </row>
    <row r="33" spans="1:5">
      <c r="A33" s="816">
        <f>'Brd Tbl'!J37</f>
        <v>1994</v>
      </c>
      <c r="B33" s="534">
        <f>'Brd Tbl'!P37</f>
        <v>210751.78888782303</v>
      </c>
      <c r="C33" s="1002">
        <f>'Brd Tbl'!Q37</f>
        <v>12.258436364026526</v>
      </c>
      <c r="D33" s="816">
        <f t="shared" si="0"/>
        <v>1995</v>
      </c>
      <c r="E33" s="514">
        <f>'Rank data'!B123</f>
        <v>1776292.4214672782</v>
      </c>
    </row>
    <row r="34" spans="1:5">
      <c r="A34" s="816">
        <f>'Brd Tbl'!J38</f>
        <v>1995</v>
      </c>
      <c r="B34" s="534">
        <f>'Brd Tbl'!P38</f>
        <v>443740.93051869422</v>
      </c>
      <c r="C34" s="1002">
        <f>'Brd Tbl'!Q38</f>
        <v>13.002996181295167</v>
      </c>
      <c r="D34" s="816">
        <f t="shared" si="0"/>
        <v>1996</v>
      </c>
      <c r="E34" s="514">
        <f>'Rank data'!B124</f>
        <v>2861367.3295118865</v>
      </c>
    </row>
    <row r="35" spans="1:5">
      <c r="A35" s="816">
        <f>'Brd Tbl'!J39</f>
        <v>1996</v>
      </c>
      <c r="B35" s="534">
        <f>'Brd Tbl'!P39</f>
        <v>505425.03393203206</v>
      </c>
      <c r="C35" s="1002">
        <f>'Brd Tbl'!Q39</f>
        <v>13.133155005618168</v>
      </c>
      <c r="D35" s="816">
        <f t="shared" si="0"/>
        <v>1997</v>
      </c>
      <c r="E35" s="514">
        <f>'Rank data'!B125</f>
        <v>3827961.7069207383</v>
      </c>
    </row>
    <row r="36" spans="1:5">
      <c r="A36" s="816">
        <f>'Brd Tbl'!J40</f>
        <v>1997</v>
      </c>
      <c r="B36" s="534">
        <f>'Brd Tbl'!P40</f>
        <v>247453.35635972215</v>
      </c>
      <c r="C36" s="1002">
        <f>'Brd Tbl'!Q40</f>
        <v>12.418977384077587</v>
      </c>
      <c r="D36" s="816">
        <f t="shared" si="0"/>
        <v>1998</v>
      </c>
      <c r="E36" s="514">
        <f>'Rank data'!B126</f>
        <v>1644261.7972266297</v>
      </c>
    </row>
    <row r="37" spans="1:5">
      <c r="A37" s="816">
        <f>'Brd Tbl'!J41</f>
        <v>1998</v>
      </c>
      <c r="B37" s="534">
        <f>'Brd Tbl'!P41</f>
        <v>271467.29571051238</v>
      </c>
      <c r="C37" s="1002">
        <f>'Brd Tbl'!Q41</f>
        <v>12.511596953312337</v>
      </c>
      <c r="D37" s="816">
        <f t="shared" si="0"/>
        <v>1999</v>
      </c>
      <c r="E37" s="514">
        <f>'Rank data'!B127</f>
        <v>1681595</v>
      </c>
    </row>
    <row r="38" spans="1:5">
      <c r="A38" s="816">
        <f>'Brd Tbl'!J42</f>
        <v>1999</v>
      </c>
      <c r="B38" s="534">
        <f>'Brd Tbl'!P42</f>
        <v>219305.37513567525</v>
      </c>
      <c r="C38" s="1002">
        <f>'Brd Tbl'!Q42</f>
        <v>12.2982204445282</v>
      </c>
      <c r="D38" s="816">
        <f t="shared" si="0"/>
        <v>2000</v>
      </c>
      <c r="E38" s="514">
        <f>'Rank data'!B128</f>
        <v>1200684</v>
      </c>
    </row>
    <row r="39" spans="1:5">
      <c r="A39" s="816">
        <f>'Brd Tbl'!J43</f>
        <v>2000</v>
      </c>
      <c r="B39" s="534">
        <f>'Brd Tbl'!P43</f>
        <v>76308.890082196463</v>
      </c>
      <c r="C39" s="1002">
        <f>'Brd Tbl'!Q43</f>
        <v>11.24254472532397</v>
      </c>
      <c r="D39" s="816">
        <f t="shared" si="0"/>
        <v>2001</v>
      </c>
      <c r="E39" s="514">
        <f>'Rank data'!B129</f>
        <v>2004403</v>
      </c>
    </row>
    <row r="40" spans="1:5">
      <c r="A40" s="816">
        <f>'Brd Tbl'!J44</f>
        <v>2001</v>
      </c>
      <c r="B40" s="534">
        <f>'Brd Tbl'!P44</f>
        <v>100643.96414584623</v>
      </c>
      <c r="C40" s="1002">
        <f>'Brd Tbl'!Q44</f>
        <v>11.519344460525044</v>
      </c>
      <c r="D40" s="816">
        <f t="shared" si="0"/>
        <v>2002</v>
      </c>
      <c r="E40" s="514">
        <f>'Rank data'!B130</f>
        <v>1777856.5</v>
      </c>
    </row>
    <row r="41" spans="1:5">
      <c r="A41" s="816">
        <f>'Brd Tbl'!J45</f>
        <v>2002</v>
      </c>
      <c r="B41" s="534">
        <f>'Brd Tbl'!P45</f>
        <v>359050.78446500207</v>
      </c>
      <c r="C41" s="1002">
        <f>'Brd Tbl'!Q45</f>
        <v>12.791219118371064</v>
      </c>
      <c r="D41" s="816">
        <f t="shared" si="0"/>
        <v>2003</v>
      </c>
      <c r="E41" s="514">
        <f>'Rank data'!B131</f>
        <v>1805186.5</v>
      </c>
    </row>
    <row r="42" spans="1:5">
      <c r="A42" s="816">
        <f>'Brd Tbl'!J46</f>
        <v>2003</v>
      </c>
      <c r="B42" s="534">
        <f>'Brd Tbl'!P46</f>
        <v>272182.51143379207</v>
      </c>
      <c r="C42" s="1002">
        <f>'Brd Tbl'!Q46</f>
        <v>12.514228118178037</v>
      </c>
      <c r="D42" s="816">
        <f t="shared" si="0"/>
        <v>2004</v>
      </c>
      <c r="E42" s="514">
        <f>'Rank data'!B132</f>
        <v>1756052.7574119794</v>
      </c>
    </row>
    <row r="43" spans="1:5">
      <c r="A43" s="816">
        <f>'Brd Tbl'!J47</f>
        <v>2004</v>
      </c>
      <c r="B43" s="534">
        <f>'Brd Tbl'!P47</f>
        <v>501789.11599463865</v>
      </c>
      <c r="C43" s="1002">
        <f>'Brd Tbl'!Q47</f>
        <v>13.125935222752243</v>
      </c>
      <c r="D43" s="816">
        <f t="shared" si="0"/>
        <v>2005</v>
      </c>
      <c r="E43" s="514">
        <f>'Rank data'!B133</f>
        <v>2070778.300560507</v>
      </c>
    </row>
    <row r="44" spans="1:5">
      <c r="A44" s="816">
        <f>'Brd Tbl'!J48</f>
        <v>2005</v>
      </c>
      <c r="B44" s="534">
        <f>'Brd Tbl'!P48</f>
        <v>258148.88316457791</v>
      </c>
      <c r="C44" s="1002">
        <f>'Brd Tbl'!Q48</f>
        <v>12.461291763994264</v>
      </c>
      <c r="D44" s="816">
        <f t="shared" si="0"/>
        <v>2006</v>
      </c>
      <c r="E44" s="514">
        <f>'Rank data'!B134</f>
        <v>2242510</v>
      </c>
    </row>
    <row r="45" spans="1:5">
      <c r="A45" s="816">
        <f>'Brd Tbl'!J49</f>
        <v>2006</v>
      </c>
      <c r="B45" s="534">
        <f>'Brd Tbl'!P49</f>
        <v>401156.89491228049</v>
      </c>
      <c r="C45" s="1002">
        <f>'Brd Tbl'!Q49</f>
        <v>12.90210788889968</v>
      </c>
      <c r="D45" s="816">
        <f t="shared" si="0"/>
        <v>2007</v>
      </c>
      <c r="E45" s="514">
        <f>'Rank data'!B135</f>
        <v>2823143</v>
      </c>
    </row>
    <row r="46" spans="1:5">
      <c r="A46" s="816">
        <f>'Brd Tbl'!J50</f>
        <v>2007</v>
      </c>
      <c r="B46" s="534">
        <f>'Brd Tbl'!P50</f>
        <v>144497.9544226641</v>
      </c>
      <c r="C46" s="1002">
        <f>'Brd Tbl'!Q50</f>
        <v>11.881020630189884</v>
      </c>
      <c r="D46" s="816">
        <f t="shared" si="0"/>
        <v>2008</v>
      </c>
      <c r="E46" s="514">
        <f>'Rank data'!B136</f>
        <v>1056178</v>
      </c>
    </row>
    <row r="47" spans="1:5">
      <c r="A47" s="816">
        <f>'Brd Tbl'!J51</f>
        <v>2008</v>
      </c>
      <c r="B47" s="534">
        <f>'Brd Tbl'!P51</f>
        <v>103350.61858821202</v>
      </c>
      <c r="C47" s="1002">
        <f>'Brd Tbl'!Q51</f>
        <v>11.545882550464155</v>
      </c>
      <c r="D47" s="816">
        <f t="shared" si="0"/>
        <v>2009</v>
      </c>
      <c r="E47" s="514">
        <f>'Rank data'!B137</f>
        <v>1589565</v>
      </c>
    </row>
    <row r="48" spans="1:5">
      <c r="A48" s="816">
        <f>'Brd Tbl'!J52</f>
        <v>2009</v>
      </c>
      <c r="B48" s="534">
        <f>'Brd Tbl'!P52</f>
        <v>348675.14452879829</v>
      </c>
      <c r="C48" s="1002">
        <f>'Brd Tbl'!Q52</f>
        <v>12.761895949735445</v>
      </c>
      <c r="D48" s="816">
        <f t="shared" si="0"/>
        <v>2010</v>
      </c>
      <c r="E48" s="514">
        <f>'Rank data'!B138</f>
        <v>1270893</v>
      </c>
    </row>
    <row r="49" spans="1:5">
      <c r="A49" s="816">
        <f>'Brd Tbl'!J53</f>
        <v>2010</v>
      </c>
      <c r="B49" s="534">
        <f>'Brd Tbl'!P53</f>
        <v>409775.58032286481</v>
      </c>
      <c r="C49" s="1002">
        <f>'Brd Tbl'!Q53</f>
        <v>12.923364923755361</v>
      </c>
      <c r="D49" s="816">
        <f t="shared" si="0"/>
        <v>2011</v>
      </c>
      <c r="E49" s="514">
        <f>'Rank data'!B139</f>
        <v>2539103</v>
      </c>
    </row>
    <row r="50" spans="1:5">
      <c r="A50" s="816">
        <f>'Brd Tbl'!J54</f>
        <v>2011</v>
      </c>
      <c r="B50" s="534">
        <f>'Brd Tbl'!P54</f>
        <v>442676.75714160182</v>
      </c>
      <c r="C50" s="1002">
        <f>'Brd Tbl'!Q54</f>
        <v>13.000595114838205</v>
      </c>
      <c r="D50" s="816">
        <f t="shared" si="0"/>
        <v>2012</v>
      </c>
      <c r="E50" s="514">
        <f>'Rank data'!B140</f>
        <v>2810319.845475113</v>
      </c>
    </row>
    <row r="51" spans="1:5">
      <c r="A51" s="816">
        <f>'Brd Tbl'!J55</f>
        <v>2012</v>
      </c>
      <c r="B51" s="534">
        <f>'Brd Tbl'!P55</f>
        <v>456063.26080517849</v>
      </c>
      <c r="C51" s="1002">
        <f>'Brd Tbl'!Q55</f>
        <v>13.030386808710347</v>
      </c>
      <c r="D51" s="816">
        <f t="shared" si="0"/>
        <v>2013</v>
      </c>
      <c r="E51" s="514">
        <f>'Rank data'!B141</f>
        <v>2539812</v>
      </c>
    </row>
    <row r="52" spans="1:5">
      <c r="A52" s="816">
        <f>'Brd Tbl'!J56</f>
        <v>2013</v>
      </c>
      <c r="B52" s="534">
        <f>'Brd Tbl'!P56</f>
        <v>650733.61710635398</v>
      </c>
      <c r="C52" s="1002">
        <f>'Brd Tbl'!Q56</f>
        <v>13.385855647136685</v>
      </c>
      <c r="D52" s="816">
        <f t="shared" si="0"/>
        <v>2014</v>
      </c>
      <c r="E52" s="514">
        <f>'Rank data'!B142</f>
        <v>2847508.076601326</v>
      </c>
    </row>
    <row r="53" spans="1:5">
      <c r="A53" s="816">
        <f>'Brd Tbl'!J57</f>
        <v>2014</v>
      </c>
      <c r="B53" s="534">
        <f>'Brd Tbl'!P57</f>
        <v>696926.54247166798</v>
      </c>
      <c r="C53" s="1002">
        <f>'Brd Tbl'!Q57</f>
        <v>13.454435293186728</v>
      </c>
      <c r="D53" s="816">
        <f t="shared" ref="D53" si="1">A53+1</f>
        <v>2015</v>
      </c>
      <c r="E53" s="514">
        <f>'Rank data'!B143</f>
        <v>2746398.292268862</v>
      </c>
    </row>
    <row r="54" spans="1:5">
      <c r="A54" s="816"/>
      <c r="B54" s="275"/>
      <c r="C54" s="275"/>
      <c r="D54" s="13"/>
    </row>
    <row r="55" spans="1:5">
      <c r="B55" s="275"/>
      <c r="C55" s="275"/>
      <c r="D55" s="13"/>
    </row>
    <row r="56" spans="1:5">
      <c r="B56" s="275"/>
      <c r="C56" s="275"/>
      <c r="D56" s="13"/>
    </row>
    <row r="57" spans="1:5">
      <c r="B57" s="275"/>
      <c r="C57" s="275"/>
      <c r="D57" s="13"/>
    </row>
    <row r="58" spans="1:5">
      <c r="B58" s="275"/>
      <c r="C58" s="275"/>
      <c r="D58" s="13"/>
    </row>
    <row r="59" spans="1:5">
      <c r="B59" s="275"/>
      <c r="C59" s="275"/>
      <c r="D59" s="13"/>
    </row>
    <row r="60" spans="1:5">
      <c r="B60" s="275"/>
      <c r="C60" s="275"/>
      <c r="D60" s="13"/>
    </row>
    <row r="61" spans="1:5">
      <c r="B61" s="275"/>
      <c r="C61" s="275"/>
      <c r="D61" s="13"/>
    </row>
    <row r="62" spans="1:5">
      <c r="B62" s="275"/>
      <c r="C62" s="275"/>
      <c r="D62" s="13"/>
    </row>
    <row r="63" spans="1:5">
      <c r="B63" s="275"/>
      <c r="C63" s="275"/>
      <c r="D63" s="13"/>
    </row>
    <row r="64" spans="1:5">
      <c r="B64" s="275"/>
      <c r="C64" s="275"/>
      <c r="D64" s="13"/>
    </row>
    <row r="65" spans="2:4">
      <c r="B65" s="275"/>
      <c r="C65" s="275"/>
      <c r="D65" s="13"/>
    </row>
    <row r="66" spans="2:4">
      <c r="B66" s="275"/>
      <c r="C66" s="275"/>
      <c r="D66" s="13"/>
    </row>
    <row r="67" spans="2:4">
      <c r="B67" s="275"/>
      <c r="C67" s="275"/>
      <c r="D67" s="13"/>
    </row>
    <row r="68" spans="2:4">
      <c r="B68" s="275"/>
      <c r="C68" s="275"/>
      <c r="D68" s="13"/>
    </row>
    <row r="69" spans="2:4">
      <c r="B69" s="275"/>
      <c r="C69" s="275"/>
      <c r="D69" s="13"/>
    </row>
    <row r="70" spans="2:4">
      <c r="B70" s="275"/>
      <c r="C70" s="275"/>
      <c r="D70" s="13"/>
    </row>
    <row r="71" spans="2:4">
      <c r="B71" s="275"/>
      <c r="C71" s="275"/>
      <c r="D71" s="13"/>
    </row>
    <row r="72" spans="2:4">
      <c r="B72" s="275"/>
      <c r="C72" s="275"/>
      <c r="D72" s="13"/>
    </row>
    <row r="73" spans="2:4">
      <c r="B73" s="275"/>
      <c r="C73" s="275"/>
      <c r="D73" s="13"/>
    </row>
    <row r="74" spans="2:4">
      <c r="B74" s="275"/>
      <c r="C74" s="275"/>
    </row>
    <row r="75" spans="2:4">
      <c r="B75" s="275"/>
      <c r="C75" s="275"/>
    </row>
    <row r="76" spans="2:4">
      <c r="B76" s="275"/>
      <c r="C76" s="275"/>
    </row>
    <row r="77" spans="2:4">
      <c r="B77" s="275"/>
      <c r="C77" s="275"/>
    </row>
    <row r="78" spans="2:4">
      <c r="B78" s="275"/>
      <c r="C78" s="275"/>
    </row>
    <row r="79" spans="2:4">
      <c r="B79" s="275"/>
      <c r="C79" s="275"/>
    </row>
    <row r="80" spans="2:4">
      <c r="B80" s="275"/>
      <c r="C80" s="275"/>
    </row>
    <row r="81" spans="2:3">
      <c r="B81" s="275"/>
      <c r="C81" s="275"/>
    </row>
    <row r="82" spans="2:3">
      <c r="B82" s="275"/>
      <c r="C82" s="275"/>
    </row>
    <row r="83" spans="2:3">
      <c r="B83" s="275"/>
      <c r="C83" s="275"/>
    </row>
    <row r="84" spans="2:3">
      <c r="B84" s="275"/>
      <c r="C84" s="275"/>
    </row>
    <row r="85" spans="2:3">
      <c r="B85" s="275"/>
      <c r="C85" s="275"/>
    </row>
    <row r="86" spans="2:3">
      <c r="B86" s="275"/>
      <c r="C86" s="275"/>
    </row>
    <row r="87" spans="2:3">
      <c r="B87" s="275"/>
      <c r="C87" s="275"/>
    </row>
    <row r="88" spans="2:3">
      <c r="B88" s="275"/>
      <c r="C88" s="275"/>
    </row>
    <row r="89" spans="2:3">
      <c r="B89" s="275"/>
      <c r="C89" s="275"/>
    </row>
    <row r="90" spans="2:3">
      <c r="B90" s="275"/>
      <c r="C90" s="275"/>
    </row>
    <row r="91" spans="2:3">
      <c r="B91" s="275"/>
      <c r="C91" s="275"/>
    </row>
    <row r="92" spans="2:3">
      <c r="B92" s="275"/>
      <c r="C92" s="275"/>
    </row>
    <row r="93" spans="2:3">
      <c r="B93" s="275"/>
      <c r="C93" s="275"/>
    </row>
    <row r="94" spans="2:3">
      <c r="B94" s="275"/>
      <c r="C94" s="275"/>
    </row>
    <row r="95" spans="2:3">
      <c r="B95" s="275"/>
      <c r="C95" s="275"/>
    </row>
    <row r="96" spans="2:3">
      <c r="B96" s="275"/>
      <c r="C96" s="275"/>
    </row>
    <row r="97" spans="2:3">
      <c r="B97" s="275"/>
      <c r="C97" s="275"/>
    </row>
    <row r="98" spans="2:3">
      <c r="B98" s="275"/>
      <c r="C98" s="275"/>
    </row>
    <row r="99" spans="2:3">
      <c r="B99" s="275"/>
      <c r="C99" s="275"/>
    </row>
    <row r="100" spans="2:3">
      <c r="B100" s="275"/>
      <c r="C100" s="275"/>
    </row>
    <row r="101" spans="2:3">
      <c r="B101" s="275"/>
      <c r="C101" s="275"/>
    </row>
    <row r="102" spans="2:3">
      <c r="B102" s="275"/>
      <c r="C102" s="275"/>
    </row>
    <row r="103" spans="2:3">
      <c r="B103" s="275"/>
      <c r="C103" s="275"/>
    </row>
    <row r="104" spans="2:3">
      <c r="B104" s="275"/>
      <c r="C104" s="275"/>
    </row>
    <row r="105" spans="2:3">
      <c r="B105" s="275"/>
      <c r="C105" s="275"/>
    </row>
    <row r="106" spans="2:3">
      <c r="B106" s="275"/>
      <c r="C106" s="275"/>
    </row>
    <row r="107" spans="2:3">
      <c r="B107" s="275"/>
      <c r="C107" s="275"/>
    </row>
    <row r="108" spans="2:3">
      <c r="B108" s="275"/>
      <c r="C108" s="275"/>
    </row>
    <row r="109" spans="2:3">
      <c r="B109" s="275"/>
      <c r="C109" s="275"/>
    </row>
    <row r="110" spans="2:3">
      <c r="B110" s="275"/>
      <c r="C110" s="275"/>
    </row>
    <row r="111" spans="2:3">
      <c r="B111" s="275"/>
      <c r="C111" s="275"/>
    </row>
    <row r="112" spans="2:3">
      <c r="B112" s="275"/>
      <c r="C112" s="275"/>
    </row>
    <row r="113" spans="2:3">
      <c r="B113" s="275"/>
      <c r="C113" s="275"/>
    </row>
    <row r="114" spans="2:3">
      <c r="B114" s="275"/>
      <c r="C114" s="275"/>
    </row>
    <row r="115" spans="2:3">
      <c r="B115" s="275"/>
      <c r="C115" s="275"/>
    </row>
    <row r="116" spans="2:3">
      <c r="B116" s="275"/>
      <c r="C116" s="275"/>
    </row>
    <row r="117" spans="2:3">
      <c r="B117" s="275"/>
      <c r="C117" s="275"/>
    </row>
    <row r="118" spans="2:3">
      <c r="B118" s="275"/>
      <c r="C118" s="275"/>
    </row>
    <row r="119" spans="2:3">
      <c r="B119" s="275"/>
      <c r="C119" s="275"/>
    </row>
    <row r="120" spans="2:3">
      <c r="B120" s="275"/>
      <c r="C120" s="275"/>
    </row>
    <row r="121" spans="2:3">
      <c r="B121" s="275"/>
      <c r="C121" s="275"/>
    </row>
    <row r="122" spans="2:3">
      <c r="B122" s="275"/>
      <c r="C122" s="275"/>
    </row>
    <row r="123" spans="2:3">
      <c r="B123" s="275"/>
      <c r="C123" s="275"/>
    </row>
    <row r="124" spans="2:3">
      <c r="B124" s="275"/>
      <c r="C124" s="275"/>
    </row>
    <row r="125" spans="2:3">
      <c r="B125" s="275"/>
      <c r="C125" s="275"/>
    </row>
    <row r="126" spans="2:3">
      <c r="B126" s="275"/>
      <c r="C126" s="275"/>
    </row>
    <row r="127" spans="2:3">
      <c r="B127" s="275"/>
      <c r="C127" s="275"/>
    </row>
    <row r="128" spans="2:3">
      <c r="B128" s="275"/>
      <c r="C128" s="275"/>
    </row>
    <row r="129" spans="2:3">
      <c r="B129" s="275"/>
      <c r="C129" s="275"/>
    </row>
    <row r="130" spans="2:3">
      <c r="B130" s="275"/>
      <c r="C130" s="275"/>
    </row>
    <row r="131" spans="2:3">
      <c r="B131" s="275"/>
      <c r="C131" s="275"/>
    </row>
    <row r="132" spans="2:3">
      <c r="B132" s="275"/>
      <c r="C132" s="275"/>
    </row>
    <row r="133" spans="2:3">
      <c r="B133" s="275"/>
      <c r="C133" s="275"/>
    </row>
    <row r="134" spans="2:3">
      <c r="B134" s="275"/>
      <c r="C134" s="275"/>
    </row>
    <row r="135" spans="2:3">
      <c r="B135" s="275"/>
      <c r="C135" s="275"/>
    </row>
    <row r="136" spans="2:3">
      <c r="B136" s="275"/>
      <c r="C136" s="275"/>
    </row>
    <row r="137" spans="2:3">
      <c r="B137" s="275"/>
      <c r="C137" s="275"/>
    </row>
    <row r="138" spans="2:3">
      <c r="B138" s="275"/>
      <c r="C138" s="275"/>
    </row>
    <row r="139" spans="2:3">
      <c r="B139" s="275"/>
      <c r="C139" s="275"/>
    </row>
    <row r="140" spans="2:3">
      <c r="B140" s="275"/>
      <c r="C140" s="275"/>
    </row>
    <row r="141" spans="2:3">
      <c r="B141" s="275"/>
      <c r="C141" s="275"/>
    </row>
    <row r="142" spans="2:3">
      <c r="B142" s="275"/>
      <c r="C142" s="275"/>
    </row>
    <row r="143" spans="2:3">
      <c r="B143" s="275"/>
      <c r="C143" s="275"/>
    </row>
    <row r="144" spans="2:3">
      <c r="B144" s="275"/>
      <c r="C144" s="275"/>
    </row>
    <row r="145" spans="2:3">
      <c r="B145" s="275"/>
      <c r="C145" s="275"/>
    </row>
    <row r="146" spans="2:3">
      <c r="B146" s="275"/>
      <c r="C146" s="275"/>
    </row>
    <row r="147" spans="2:3">
      <c r="B147" s="275"/>
      <c r="C147" s="275"/>
    </row>
    <row r="148" spans="2:3">
      <c r="B148" s="275"/>
      <c r="C148" s="275"/>
    </row>
    <row r="149" spans="2:3">
      <c r="B149" s="275"/>
      <c r="C149" s="275"/>
    </row>
    <row r="150" spans="2:3">
      <c r="B150" s="275"/>
      <c r="C150" s="275"/>
    </row>
    <row r="151" spans="2:3">
      <c r="B151" s="275"/>
      <c r="C151" s="275"/>
    </row>
    <row r="152" spans="2:3">
      <c r="B152" s="275"/>
      <c r="C152" s="275"/>
    </row>
    <row r="153" spans="2:3">
      <c r="B153" s="275"/>
      <c r="C153" s="275"/>
    </row>
    <row r="154" spans="2:3">
      <c r="B154" s="275"/>
      <c r="C154" s="275"/>
    </row>
    <row r="155" spans="2:3">
      <c r="B155" s="275"/>
      <c r="C155" s="275"/>
    </row>
    <row r="156" spans="2:3">
      <c r="B156" s="275"/>
      <c r="C156" s="275"/>
    </row>
    <row r="157" spans="2:3">
      <c r="B157" s="275"/>
      <c r="C157" s="275"/>
    </row>
    <row r="158" spans="2:3">
      <c r="B158" s="275"/>
      <c r="C158" s="275"/>
    </row>
    <row r="159" spans="2:3">
      <c r="B159" s="275"/>
      <c r="C159" s="275"/>
    </row>
    <row r="160" spans="2:3">
      <c r="B160" s="275"/>
      <c r="C160" s="275"/>
    </row>
    <row r="161" spans="2:3">
      <c r="B161" s="275"/>
      <c r="C161" s="275"/>
    </row>
    <row r="162" spans="2:3">
      <c r="B162" s="275"/>
      <c r="C162" s="275"/>
    </row>
    <row r="163" spans="2:3">
      <c r="B163" s="275"/>
      <c r="C163" s="275"/>
    </row>
    <row r="164" spans="2:3">
      <c r="B164" s="275"/>
      <c r="C164" s="275"/>
    </row>
    <row r="165" spans="2:3">
      <c r="B165" s="275"/>
      <c r="C165" s="275"/>
    </row>
    <row r="166" spans="2:3">
      <c r="B166" s="275"/>
      <c r="C166" s="275"/>
    </row>
    <row r="167" spans="2:3">
      <c r="B167" s="275"/>
      <c r="C167" s="275"/>
    </row>
    <row r="168" spans="2:3">
      <c r="B168" s="275"/>
      <c r="C168" s="275"/>
    </row>
    <row r="169" spans="2:3">
      <c r="B169" s="275"/>
      <c r="C169" s="275"/>
    </row>
    <row r="170" spans="2:3">
      <c r="B170" s="275"/>
      <c r="C170" s="275"/>
    </row>
    <row r="171" spans="2:3">
      <c r="B171" s="275"/>
      <c r="C171" s="275"/>
    </row>
    <row r="172" spans="2:3">
      <c r="B172" s="275"/>
      <c r="C172" s="275"/>
    </row>
    <row r="173" spans="2:3">
      <c r="B173" s="275"/>
      <c r="C173" s="275"/>
    </row>
    <row r="174" spans="2:3">
      <c r="B174" s="275"/>
      <c r="C174" s="275"/>
    </row>
    <row r="175" spans="2:3">
      <c r="B175" s="275"/>
      <c r="C175" s="275"/>
    </row>
    <row r="176" spans="2:3">
      <c r="B176" s="275"/>
      <c r="C176" s="275"/>
    </row>
    <row r="177" spans="2:3">
      <c r="B177" s="275"/>
      <c r="C177" s="275"/>
    </row>
    <row r="178" spans="2:3">
      <c r="B178" s="275"/>
      <c r="C178" s="275"/>
    </row>
    <row r="179" spans="2:3">
      <c r="B179" s="275"/>
      <c r="C179" s="275"/>
    </row>
    <row r="180" spans="2:3">
      <c r="B180" s="275"/>
      <c r="C180" s="275"/>
    </row>
    <row r="181" spans="2:3">
      <c r="B181" s="275"/>
      <c r="C181" s="275"/>
    </row>
    <row r="182" spans="2:3">
      <c r="B182" s="275"/>
      <c r="C182" s="275"/>
    </row>
    <row r="183" spans="2:3">
      <c r="B183" s="275"/>
      <c r="C183" s="275"/>
    </row>
    <row r="184" spans="2:3">
      <c r="B184" s="275"/>
      <c r="C184" s="275"/>
    </row>
    <row r="185" spans="2:3">
      <c r="B185" s="275"/>
      <c r="C185" s="275"/>
    </row>
    <row r="186" spans="2:3">
      <c r="B186" s="275"/>
      <c r="C186" s="275"/>
    </row>
    <row r="187" spans="2:3">
      <c r="B187" s="275"/>
      <c r="C187" s="275"/>
    </row>
    <row r="188" spans="2:3">
      <c r="B188" s="275"/>
      <c r="C188" s="275"/>
    </row>
    <row r="189" spans="2:3">
      <c r="B189" s="275"/>
      <c r="C189" s="275"/>
    </row>
    <row r="190" spans="2:3">
      <c r="B190" s="275"/>
      <c r="C190" s="275"/>
    </row>
    <row r="191" spans="2:3">
      <c r="B191" s="275"/>
      <c r="C191" s="275"/>
    </row>
    <row r="192" spans="2:3">
      <c r="B192" s="275"/>
      <c r="C192" s="275"/>
    </row>
    <row r="193" spans="2:3">
      <c r="B193" s="275"/>
      <c r="C193" s="275"/>
    </row>
    <row r="194" spans="2:3">
      <c r="B194" s="275"/>
      <c r="C194" s="275"/>
    </row>
    <row r="195" spans="2:3">
      <c r="B195" s="275"/>
      <c r="C195" s="275"/>
    </row>
    <row r="196" spans="2:3">
      <c r="B196" s="275"/>
      <c r="C196" s="275"/>
    </row>
    <row r="197" spans="2:3">
      <c r="B197" s="275"/>
      <c r="C197" s="275"/>
    </row>
    <row r="198" spans="2:3">
      <c r="B198" s="275"/>
      <c r="C198" s="275"/>
    </row>
    <row r="199" spans="2:3">
      <c r="B199" s="275"/>
      <c r="C199" s="275"/>
    </row>
    <row r="200" spans="2:3">
      <c r="B200" s="275"/>
      <c r="C200" s="275"/>
    </row>
    <row r="201" spans="2:3">
      <c r="B201" s="275"/>
      <c r="C201" s="275"/>
    </row>
    <row r="202" spans="2:3">
      <c r="B202" s="275"/>
      <c r="C202" s="275"/>
    </row>
    <row r="203" spans="2:3">
      <c r="B203" s="275"/>
      <c r="C203" s="275"/>
    </row>
    <row r="204" spans="2:3">
      <c r="B204" s="275"/>
      <c r="C204" s="275"/>
    </row>
    <row r="205" spans="2:3">
      <c r="B205" s="275"/>
      <c r="C205" s="275"/>
    </row>
    <row r="206" spans="2:3">
      <c r="B206" s="275"/>
      <c r="C206" s="275"/>
    </row>
    <row r="207" spans="2:3">
      <c r="B207" s="275"/>
      <c r="C207" s="275"/>
    </row>
    <row r="208" spans="2:3">
      <c r="B208" s="275"/>
      <c r="C208" s="275"/>
    </row>
    <row r="209" spans="2:3">
      <c r="B209" s="275"/>
      <c r="C209" s="275"/>
    </row>
    <row r="210" spans="2:3">
      <c r="B210" s="275"/>
      <c r="C210" s="275"/>
    </row>
    <row r="211" spans="2:3">
      <c r="B211" s="275"/>
      <c r="C211" s="275"/>
    </row>
    <row r="212" spans="2:3">
      <c r="B212" s="275"/>
      <c r="C212" s="275"/>
    </row>
    <row r="213" spans="2:3">
      <c r="B213" s="275"/>
      <c r="C213" s="275"/>
    </row>
    <row r="214" spans="2:3">
      <c r="B214" s="275"/>
      <c r="C214" s="275"/>
    </row>
    <row r="215" spans="2:3">
      <c r="B215" s="275"/>
      <c r="C215" s="275"/>
    </row>
    <row r="216" spans="2:3">
      <c r="B216" s="275"/>
      <c r="C216" s="275"/>
    </row>
    <row r="217" spans="2:3">
      <c r="B217" s="275"/>
      <c r="C217" s="275"/>
    </row>
  </sheetData>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18"/>
  <dimension ref="A1:AR89"/>
  <sheetViews>
    <sheetView zoomScale="75" workbookViewId="0">
      <pane ySplit="11" topLeftCell="A12" activePane="bottomLeft" state="frozen"/>
      <selection activeCell="W48" sqref="W48"/>
      <selection pane="bottomLeft" activeCell="U63" sqref="U63"/>
    </sheetView>
  </sheetViews>
  <sheetFormatPr defaultColWidth="9.6640625" defaultRowHeight="15"/>
  <cols>
    <col min="1" max="2" width="6.6640625" customWidth="1"/>
    <col min="5" max="6" width="4.6640625" customWidth="1"/>
    <col min="7" max="7" width="8.6640625" customWidth="1"/>
    <col min="8" max="8" width="9.44140625" customWidth="1"/>
    <col min="9" max="9" width="12.6640625" customWidth="1"/>
    <col min="10" max="12" width="7.6640625" customWidth="1"/>
    <col min="15" max="15" width="13.77734375" customWidth="1"/>
    <col min="16" max="16" width="12" customWidth="1"/>
    <col min="20" max="20" width="13.44140625" bestFit="1" customWidth="1"/>
    <col min="23" max="23" width="12.44140625" customWidth="1"/>
  </cols>
  <sheetData>
    <row r="1" spans="1:32">
      <c r="A1" t="s">
        <v>0</v>
      </c>
      <c r="B1" s="440" t="str">
        <f ca="1">CELL("filename",B2)</f>
        <v>O:\DCF\SALMON\FORECAST\2015\[2015_Copper River Wild Sockeye forecast_FINAL.xlsm]ln03xln11</v>
      </c>
      <c r="G1" t="s">
        <v>346</v>
      </c>
    </row>
    <row r="2" spans="1:32">
      <c r="G2" s="242" t="s">
        <v>154</v>
      </c>
      <c r="H2" s="148" t="s">
        <v>197</v>
      </c>
    </row>
    <row r="3" spans="1:32">
      <c r="G3" s="242" t="s">
        <v>155</v>
      </c>
      <c r="H3" s="148" t="s">
        <v>210</v>
      </c>
    </row>
    <row r="4" spans="1:32">
      <c r="G4" s="54" t="s">
        <v>253</v>
      </c>
      <c r="H4" s="13">
        <v>4</v>
      </c>
    </row>
    <row r="5" spans="1:32">
      <c r="A5" s="327"/>
      <c r="B5" s="13"/>
    </row>
    <row r="6" spans="1:32">
      <c r="B6" s="13"/>
    </row>
    <row r="7" spans="1:32">
      <c r="B7" s="327"/>
      <c r="C7" s="327"/>
    </row>
    <row r="8" spans="1:32">
      <c r="AA8" t="s">
        <v>156</v>
      </c>
    </row>
    <row r="9" spans="1:32">
      <c r="A9" s="123"/>
      <c r="B9" s="123"/>
      <c r="C9" s="121" t="s">
        <v>157</v>
      </c>
      <c r="D9" s="126"/>
      <c r="E9" s="121"/>
      <c r="F9" s="119"/>
      <c r="G9" s="119"/>
      <c r="H9" s="119" t="s">
        <v>158</v>
      </c>
      <c r="I9" s="119"/>
      <c r="J9" s="119"/>
      <c r="K9" s="119"/>
      <c r="L9" s="119"/>
      <c r="M9" s="126"/>
      <c r="N9" s="121" t="s">
        <v>159</v>
      </c>
      <c r="O9" s="119"/>
      <c r="P9" s="119"/>
      <c r="Q9" s="119"/>
      <c r="R9" s="126"/>
      <c r="S9" s="121" t="s">
        <v>160</v>
      </c>
      <c r="T9" s="119"/>
      <c r="U9" s="119"/>
      <c r="V9" s="119"/>
      <c r="W9" s="126"/>
      <c r="X9" s="122" t="s">
        <v>109</v>
      </c>
      <c r="Y9" s="415" t="s">
        <v>329</v>
      </c>
      <c r="Z9" s="164" t="s">
        <v>161</v>
      </c>
      <c r="AA9" s="164" t="s">
        <v>162</v>
      </c>
      <c r="AB9" s="164" t="s">
        <v>163</v>
      </c>
      <c r="AC9" s="164" t="s">
        <v>164</v>
      </c>
      <c r="AD9" s="158" t="s">
        <v>25</v>
      </c>
      <c r="AE9" s="159"/>
    </row>
    <row r="10" spans="1:32">
      <c r="A10" s="100" t="s">
        <v>23</v>
      </c>
      <c r="B10" s="139" t="s">
        <v>29</v>
      </c>
      <c r="C10" s="209" t="s">
        <v>165</v>
      </c>
      <c r="D10" s="209" t="s">
        <v>166</v>
      </c>
      <c r="E10" s="123"/>
      <c r="F10" s="123"/>
      <c r="G10" s="123"/>
      <c r="H10" s="123"/>
      <c r="I10" s="209" t="s">
        <v>167</v>
      </c>
      <c r="J10" s="209" t="s">
        <v>168</v>
      </c>
      <c r="K10" s="209" t="s">
        <v>167</v>
      </c>
      <c r="L10" s="123"/>
      <c r="M10" s="226" t="s">
        <v>169</v>
      </c>
      <c r="N10" s="123"/>
      <c r="O10" s="123"/>
      <c r="P10" s="122" t="s">
        <v>24</v>
      </c>
      <c r="Q10" s="122" t="s">
        <v>170</v>
      </c>
      <c r="R10" s="122" t="s">
        <v>171</v>
      </c>
      <c r="S10" s="123"/>
      <c r="T10" s="123"/>
      <c r="U10" s="122" t="s">
        <v>24</v>
      </c>
      <c r="V10" s="122" t="s">
        <v>170</v>
      </c>
      <c r="W10" s="122" t="s">
        <v>171</v>
      </c>
      <c r="X10" s="100" t="s">
        <v>115</v>
      </c>
      <c r="Y10" s="416" t="s">
        <v>323</v>
      </c>
      <c r="Z10" s="139"/>
      <c r="AA10" s="122" t="s">
        <v>172</v>
      </c>
      <c r="AB10" s="122" t="s">
        <v>112</v>
      </c>
      <c r="AC10" s="122" t="s">
        <v>29</v>
      </c>
      <c r="AD10" s="164" t="s">
        <v>173</v>
      </c>
      <c r="AE10" s="164" t="s">
        <v>174</v>
      </c>
    </row>
    <row r="11" spans="1:32" ht="16.899999999999999" customHeight="1">
      <c r="A11" s="125" t="s">
        <v>27</v>
      </c>
      <c r="B11" s="27" t="s">
        <v>27</v>
      </c>
      <c r="C11" s="163" t="s">
        <v>161</v>
      </c>
      <c r="D11" s="214" t="s">
        <v>240</v>
      </c>
      <c r="E11" s="188" t="s">
        <v>175</v>
      </c>
      <c r="F11" s="188" t="s">
        <v>176</v>
      </c>
      <c r="G11" s="214" t="s">
        <v>152</v>
      </c>
      <c r="H11" s="215" t="s">
        <v>177</v>
      </c>
      <c r="I11" s="216" t="s">
        <v>177</v>
      </c>
      <c r="J11" s="214" t="s">
        <v>239</v>
      </c>
      <c r="K11" s="188" t="s">
        <v>168</v>
      </c>
      <c r="L11" s="188" t="s">
        <v>241</v>
      </c>
      <c r="M11" s="217" t="s">
        <v>178</v>
      </c>
      <c r="N11" s="188" t="s">
        <v>242</v>
      </c>
      <c r="O11" s="217" t="s">
        <v>243</v>
      </c>
      <c r="P11" s="214" t="s">
        <v>239</v>
      </c>
      <c r="Q11" s="188" t="s">
        <v>244</v>
      </c>
      <c r="R11" s="188" t="s">
        <v>244</v>
      </c>
      <c r="S11" s="188" t="s">
        <v>242</v>
      </c>
      <c r="T11" s="217" t="s">
        <v>243</v>
      </c>
      <c r="U11" s="214" t="s">
        <v>239</v>
      </c>
      <c r="V11" s="188" t="s">
        <v>244</v>
      </c>
      <c r="W11" s="188" t="s">
        <v>244</v>
      </c>
      <c r="X11" s="234" t="s">
        <v>245</v>
      </c>
      <c r="Y11" s="554" t="s">
        <v>115</v>
      </c>
      <c r="Z11" s="125" t="s">
        <v>200</v>
      </c>
      <c r="AA11" s="125" t="s">
        <v>179</v>
      </c>
      <c r="AB11" s="125" t="s">
        <v>179</v>
      </c>
      <c r="AC11" s="125" t="s">
        <v>27</v>
      </c>
      <c r="AD11" s="164" t="s">
        <v>170</v>
      </c>
      <c r="AE11" s="164" t="s">
        <v>171</v>
      </c>
      <c r="AF11" s="164" t="s">
        <v>111</v>
      </c>
    </row>
    <row r="12" spans="1:32">
      <c r="A12" s="443"/>
      <c r="B12" s="457"/>
      <c r="C12" s="457"/>
      <c r="D12" s="457"/>
      <c r="E12" s="31"/>
      <c r="F12" s="31"/>
      <c r="G12" s="31"/>
      <c r="H12" s="31"/>
      <c r="I12" s="31"/>
      <c r="J12" s="31"/>
      <c r="K12" s="31"/>
      <c r="L12" s="31"/>
      <c r="M12" s="31"/>
      <c r="N12" s="31"/>
      <c r="O12" s="31"/>
      <c r="P12" s="31"/>
      <c r="Q12" s="31"/>
      <c r="R12" s="31"/>
      <c r="S12" s="31"/>
      <c r="T12" s="31"/>
      <c r="U12" s="31"/>
      <c r="V12" s="31"/>
      <c r="W12" s="31"/>
      <c r="X12" s="46"/>
      <c r="Y12" s="46"/>
      <c r="Z12" s="123"/>
      <c r="AA12" s="123"/>
      <c r="AB12" s="123"/>
      <c r="AC12" s="123"/>
      <c r="AD12" s="36"/>
      <c r="AE12" s="46"/>
    </row>
    <row r="13" spans="1:32">
      <c r="A13" s="455">
        <v>1962</v>
      </c>
      <c r="B13" s="440">
        <f t="shared" ref="B13:B44" si="0">A13+$H$4</f>
        <v>1966</v>
      </c>
      <c r="C13" s="458">
        <f>LN(VLOOKUP($A13,'Brd Link'!$A$12:$E$60,4))</f>
        <v>9.5821363703707938</v>
      </c>
      <c r="D13" s="458">
        <f>VLOOKUP($A13,'Brd Tbl'!$A$8:$AX$64,12)</f>
        <v>10.772558121886703</v>
      </c>
      <c r="E13" s="461">
        <v>48</v>
      </c>
      <c r="F13" s="461">
        <v>46</v>
      </c>
      <c r="G13" s="462">
        <v>5.6202615338391926</v>
      </c>
      <c r="H13" s="462">
        <v>0.55454208008296879</v>
      </c>
      <c r="I13" s="463">
        <v>0.11910176373486804</v>
      </c>
      <c r="J13" s="461">
        <v>10.933959368303281</v>
      </c>
      <c r="K13" s="461">
        <v>1.2502509526714896</v>
      </c>
      <c r="L13" s="461">
        <v>0.32031760967512396</v>
      </c>
      <c r="M13" s="462">
        <v>1.6027057017691109</v>
      </c>
      <c r="N13" s="458">
        <f t="shared" ref="N13:N44" si="1">D13-J13</f>
        <v>-0.16140124641657749</v>
      </c>
      <c r="O13" s="440">
        <f t="shared" ref="O13:O44" si="2">N13^2</f>
        <v>2.605036234482477E-2</v>
      </c>
      <c r="P13" s="465">
        <f t="shared" ref="P13:P60" si="3">J13</f>
        <v>10.933959368303281</v>
      </c>
      <c r="Q13" s="440">
        <f t="shared" ref="Q13:Q40" si="4">$P13-SQRT($O$65)*$Q$65</f>
        <v>9.2871746199659526</v>
      </c>
      <c r="R13" s="440">
        <f t="shared" ref="R13:R44" si="5">$P13+SQRT($O$65)*$Q$65</f>
        <v>12.580744116640609</v>
      </c>
      <c r="S13" s="466">
        <f t="shared" ref="S13:S40" si="6">EXP(D13)-U13</f>
        <v>-8353.8863498038845</v>
      </c>
      <c r="T13" s="440">
        <f t="shared" ref="T13:T44" si="7">S13^2</f>
        <v>69787417.145439669</v>
      </c>
      <c r="U13" s="466">
        <f t="shared" ref="U13:U44" si="8">EXP(P13)</f>
        <v>56047.754670931208</v>
      </c>
      <c r="V13" s="467">
        <f t="shared" ref="V13:V44" si="9">EXP(Q13)</f>
        <v>10798.630720828771</v>
      </c>
      <c r="W13" s="467">
        <f t="shared" ref="W13:W44" si="10">EXP(R13)</f>
        <v>290902.69728306809</v>
      </c>
      <c r="X13" s="468">
        <f t="shared" ref="X13:X44" si="11">(+U13-EXP(D13))/(EXP(D13))</f>
        <v>0.17515640152223297</v>
      </c>
      <c r="Y13" s="468">
        <f t="shared" ref="Y13:Y44" si="12">ABS(X13)</f>
        <v>0.17515640152223297</v>
      </c>
      <c r="Z13" s="441">
        <f t="shared" ref="Z13:Z44" si="13">C13</f>
        <v>9.5821363703707938</v>
      </c>
      <c r="AA13" s="471">
        <f t="shared" ref="AA13:AA44" si="14">(+G$63+H$63*C13)</f>
        <v>10.930056018977787</v>
      </c>
      <c r="AB13" s="441">
        <f t="shared" ref="AB13:AB44" si="15">D13</f>
        <v>10.772558121886703</v>
      </c>
      <c r="AC13" s="802">
        <f t="shared" ref="AC13:AC46" si="16">B13-1900</f>
        <v>66</v>
      </c>
      <c r="AD13" s="435">
        <f t="shared" ref="AD13:AD44" si="17">AA13-SQRT($O$65)*$Q$65</f>
        <v>9.2832712706404585</v>
      </c>
      <c r="AE13" s="441">
        <f t="shared" ref="AE13:AE44" si="18">AA13+SQRT($O$65)*$Q$65</f>
        <v>12.576840767315115</v>
      </c>
      <c r="AF13" s="440"/>
    </row>
    <row r="14" spans="1:32">
      <c r="A14" s="455">
        <v>1963</v>
      </c>
      <c r="B14" s="440">
        <f t="shared" si="0"/>
        <v>1967</v>
      </c>
      <c r="C14" s="458">
        <f>LN(VLOOKUP($A14,'Brd Link'!$A$12:$E$60,4))</f>
        <v>9.4645231159839032</v>
      </c>
      <c r="D14" s="458">
        <f>VLOOKUP($A14,'Brd Tbl'!$A$8:$AX$64,12)</f>
        <v>8.3513880672186342</v>
      </c>
      <c r="E14" s="461">
        <v>48</v>
      </c>
      <c r="F14" s="461">
        <v>46</v>
      </c>
      <c r="G14" s="462">
        <v>5.5680297313794744</v>
      </c>
      <c r="H14" s="462">
        <v>0.56589401797485661</v>
      </c>
      <c r="I14" s="463">
        <v>0.11356963942408357</v>
      </c>
      <c r="J14" s="461">
        <v>10.923946745699515</v>
      </c>
      <c r="K14" s="461">
        <v>1.1929412774836916</v>
      </c>
      <c r="L14" s="461">
        <v>0.35054141875359612</v>
      </c>
      <c r="M14" s="462">
        <v>1.4653722061048926</v>
      </c>
      <c r="N14" s="458">
        <f t="shared" si="1"/>
        <v>-2.5725586784808812</v>
      </c>
      <c r="O14" s="440">
        <f t="shared" si="2"/>
        <v>6.618058154227298</v>
      </c>
      <c r="P14" s="465">
        <f t="shared" si="3"/>
        <v>10.923946745699515</v>
      </c>
      <c r="Q14" s="440">
        <f t="shared" si="4"/>
        <v>9.2771619973621853</v>
      </c>
      <c r="R14" s="440">
        <f t="shared" si="5"/>
        <v>12.570731494036846</v>
      </c>
      <c r="S14" s="466">
        <f t="shared" si="6"/>
        <v>-51253.313173776434</v>
      </c>
      <c r="T14" s="440">
        <f t="shared" si="7"/>
        <v>2626902111.2892051</v>
      </c>
      <c r="U14" s="466">
        <f t="shared" si="8"/>
        <v>55489.369769221223</v>
      </c>
      <c r="V14" s="467">
        <f t="shared" si="9"/>
        <v>10691.047600165763</v>
      </c>
      <c r="W14" s="467">
        <f t="shared" si="10"/>
        <v>288004.53169225645</v>
      </c>
      <c r="X14" s="468">
        <f t="shared" si="11"/>
        <v>12.09929849117013</v>
      </c>
      <c r="Y14" s="468">
        <f t="shared" si="12"/>
        <v>12.09929849117013</v>
      </c>
      <c r="Z14" s="441">
        <f t="shared" si="13"/>
        <v>9.4645231159839032</v>
      </c>
      <c r="AA14" s="471">
        <f t="shared" si="14"/>
        <v>10.864945427460469</v>
      </c>
      <c r="AB14" s="441">
        <f t="shared" si="15"/>
        <v>8.3513880672186342</v>
      </c>
      <c r="AC14" s="802">
        <f t="shared" si="16"/>
        <v>67</v>
      </c>
      <c r="AD14" s="435">
        <f t="shared" si="17"/>
        <v>9.218160679123141</v>
      </c>
      <c r="AE14" s="441">
        <f t="shared" si="18"/>
        <v>12.511730175797798</v>
      </c>
      <c r="AF14" s="440"/>
    </row>
    <row r="15" spans="1:32">
      <c r="A15" s="455">
        <v>1964</v>
      </c>
      <c r="B15" s="440">
        <f t="shared" si="0"/>
        <v>1968</v>
      </c>
      <c r="C15" s="458">
        <f>LN(VLOOKUP($A15,'Brd Link'!$A$12:$E$60,4))</f>
        <v>6.0609833927814609</v>
      </c>
      <c r="D15" s="458">
        <f>VLOOKUP($A15,'Brd Tbl'!$A$8:$AX$64,12)</f>
        <v>8.7579462835897282</v>
      </c>
      <c r="E15" s="461">
        <v>48</v>
      </c>
      <c r="F15" s="461">
        <v>46</v>
      </c>
      <c r="G15" s="462">
        <v>5.6875992082342632</v>
      </c>
      <c r="H15" s="462">
        <v>0.54720011723076056</v>
      </c>
      <c r="I15" s="463">
        <v>0.12365680633260415</v>
      </c>
      <c r="J15" s="461">
        <v>9.0041700312979707</v>
      </c>
      <c r="K15" s="461">
        <v>1.24999498706858</v>
      </c>
      <c r="L15" s="461">
        <v>0.29858767304231743</v>
      </c>
      <c r="M15" s="462">
        <v>1.6019853731943055</v>
      </c>
      <c r="N15" s="458">
        <f t="shared" si="1"/>
        <v>-0.24622374770824251</v>
      </c>
      <c r="O15" s="440">
        <f t="shared" si="2"/>
        <v>6.0626133935492259E-2</v>
      </c>
      <c r="P15" s="465">
        <f t="shared" si="3"/>
        <v>9.0041700312979707</v>
      </c>
      <c r="Q15" s="440">
        <f t="shared" si="4"/>
        <v>7.3573852829606414</v>
      </c>
      <c r="R15" s="440">
        <f t="shared" si="5"/>
        <v>10.650954779635299</v>
      </c>
      <c r="S15" s="466">
        <f t="shared" si="6"/>
        <v>-1775.9101986581663</v>
      </c>
      <c r="T15" s="440">
        <f t="shared" si="7"/>
        <v>3153857.033698088</v>
      </c>
      <c r="U15" s="466">
        <f t="shared" si="8"/>
        <v>8136.9445921115348</v>
      </c>
      <c r="V15" s="467">
        <f t="shared" si="9"/>
        <v>1567.7320235564964</v>
      </c>
      <c r="W15" s="467">
        <f t="shared" si="10"/>
        <v>42232.898416460186</v>
      </c>
      <c r="X15" s="468">
        <f t="shared" si="11"/>
        <v>0.27918575640557652</v>
      </c>
      <c r="Y15" s="468">
        <f t="shared" si="12"/>
        <v>0.27918575640557652</v>
      </c>
      <c r="Z15" s="441">
        <f t="shared" si="13"/>
        <v>6.0609833927814609</v>
      </c>
      <c r="AA15" s="471">
        <f t="shared" si="14"/>
        <v>8.9807489073861291</v>
      </c>
      <c r="AB15" s="441">
        <f t="shared" si="15"/>
        <v>8.7579462835897282</v>
      </c>
      <c r="AC15" s="802">
        <f t="shared" si="16"/>
        <v>68</v>
      </c>
      <c r="AD15" s="435">
        <f t="shared" si="17"/>
        <v>7.3339641590487998</v>
      </c>
      <c r="AE15" s="441">
        <f t="shared" si="18"/>
        <v>10.627533655723457</v>
      </c>
      <c r="AF15" s="440"/>
    </row>
    <row r="16" spans="1:32">
      <c r="A16" s="455">
        <v>1965</v>
      </c>
      <c r="B16" s="440">
        <f t="shared" si="0"/>
        <v>1969</v>
      </c>
      <c r="C16" s="458">
        <f>LN(VLOOKUP($A16,'Brd Link'!$A$12:$E$60,4))</f>
        <v>7.3798360922232167</v>
      </c>
      <c r="D16" s="458">
        <f>VLOOKUP($A16,'Brd Tbl'!$A$8:$AX$64,12)</f>
        <v>5.9381241906021609</v>
      </c>
      <c r="E16" s="461">
        <v>48</v>
      </c>
      <c r="F16" s="461">
        <v>46</v>
      </c>
      <c r="G16" s="462">
        <v>6.2009379919667627</v>
      </c>
      <c r="H16" s="462">
        <v>0.49818751703543984</v>
      </c>
      <c r="I16" s="463">
        <v>0.10710336999452644</v>
      </c>
      <c r="J16" s="461">
        <v>9.8774802108799697</v>
      </c>
      <c r="K16" s="461">
        <v>1.1138175176136265</v>
      </c>
      <c r="L16" s="461">
        <v>0.31989003779408798</v>
      </c>
      <c r="M16" s="462">
        <v>1.2799457956825655</v>
      </c>
      <c r="N16" s="458">
        <f t="shared" si="1"/>
        <v>-3.9393560202778088</v>
      </c>
      <c r="O16" s="440">
        <f t="shared" si="2"/>
        <v>15.518525854499016</v>
      </c>
      <c r="P16" s="465">
        <f t="shared" si="3"/>
        <v>9.8774802108799697</v>
      </c>
      <c r="Q16" s="440">
        <f t="shared" si="4"/>
        <v>8.2306954625426414</v>
      </c>
      <c r="R16" s="440">
        <f t="shared" si="5"/>
        <v>11.524264959217298</v>
      </c>
      <c r="S16" s="466">
        <f t="shared" si="6"/>
        <v>-19107.335815995848</v>
      </c>
      <c r="T16" s="440">
        <f t="shared" si="7"/>
        <v>365090281.98523772</v>
      </c>
      <c r="U16" s="466">
        <f t="shared" si="8"/>
        <v>19486.558728035932</v>
      </c>
      <c r="V16" s="467">
        <f t="shared" si="9"/>
        <v>3754.4439194624861</v>
      </c>
      <c r="W16" s="467">
        <f t="shared" si="10"/>
        <v>101140.40300156029</v>
      </c>
      <c r="X16" s="468">
        <f t="shared" si="11"/>
        <v>50.385499423558684</v>
      </c>
      <c r="Y16" s="468">
        <f t="shared" si="12"/>
        <v>50.385499423558684</v>
      </c>
      <c r="Z16" s="441">
        <f t="shared" si="13"/>
        <v>7.3798360922232167</v>
      </c>
      <c r="AA16" s="471">
        <f t="shared" si="14"/>
        <v>9.7108645719215954</v>
      </c>
      <c r="AB16" s="441">
        <f t="shared" si="15"/>
        <v>5.9381241906021609</v>
      </c>
      <c r="AC16" s="802">
        <f t="shared" si="16"/>
        <v>69</v>
      </c>
      <c r="AD16" s="435">
        <f t="shared" si="17"/>
        <v>8.0640798235842652</v>
      </c>
      <c r="AE16" s="441">
        <f t="shared" si="18"/>
        <v>11.357649320258925</v>
      </c>
      <c r="AF16" s="440"/>
    </row>
    <row r="17" spans="1:32">
      <c r="A17" s="455">
        <v>1966</v>
      </c>
      <c r="B17" s="440">
        <f t="shared" si="0"/>
        <v>1970</v>
      </c>
      <c r="C17" s="458">
        <f>LN(VLOOKUP($A17,'Brd Link'!$A$12:$E$60,4))</f>
        <v>4.2036292731298142</v>
      </c>
      <c r="D17" s="458">
        <f>VLOOKUP($A17,'Brd Tbl'!$A$8:$AX$64,12)</f>
        <v>8.3390313888342202</v>
      </c>
      <c r="E17" s="461">
        <v>48</v>
      </c>
      <c r="F17" s="461">
        <v>46</v>
      </c>
      <c r="G17" s="462">
        <v>5.4251273627942389</v>
      </c>
      <c r="H17" s="462">
        <v>0.57487485374333547</v>
      </c>
      <c r="I17" s="463">
        <v>0.13330437120784114</v>
      </c>
      <c r="J17" s="461">
        <v>7.8416881263759439</v>
      </c>
      <c r="K17" s="461">
        <v>1.2487998904073987</v>
      </c>
      <c r="L17" s="461">
        <v>0.28789968468177046</v>
      </c>
      <c r="M17" s="462">
        <v>1.5980952859697817</v>
      </c>
      <c r="N17" s="458">
        <f t="shared" si="1"/>
        <v>0.49734326245827631</v>
      </c>
      <c r="O17" s="440">
        <f t="shared" si="2"/>
        <v>0.24735032071264193</v>
      </c>
      <c r="P17" s="465">
        <f t="shared" si="3"/>
        <v>7.8416881263759439</v>
      </c>
      <c r="Q17" s="440">
        <f t="shared" si="4"/>
        <v>6.1949033780386147</v>
      </c>
      <c r="R17" s="440">
        <f t="shared" si="5"/>
        <v>9.4884728747132741</v>
      </c>
      <c r="S17" s="466">
        <f t="shared" si="6"/>
        <v>1639.5384328480241</v>
      </c>
      <c r="T17" s="440">
        <f t="shared" si="7"/>
        <v>2688086.2727857549</v>
      </c>
      <c r="U17" s="466">
        <f t="shared" si="8"/>
        <v>2544.4966421453009</v>
      </c>
      <c r="V17" s="467">
        <f t="shared" si="9"/>
        <v>490.24407436551024</v>
      </c>
      <c r="W17" s="467">
        <f t="shared" si="10"/>
        <v>13206.611768369006</v>
      </c>
      <c r="X17" s="468">
        <f t="shared" si="11"/>
        <v>-0.39185580509280021</v>
      </c>
      <c r="Y17" s="468">
        <f t="shared" si="12"/>
        <v>0.39185580509280021</v>
      </c>
      <c r="Z17" s="441">
        <f t="shared" si="13"/>
        <v>4.2036292731298142</v>
      </c>
      <c r="AA17" s="471">
        <f t="shared" si="14"/>
        <v>7.9525193424611382</v>
      </c>
      <c r="AB17" s="441">
        <f t="shared" si="15"/>
        <v>8.3390313888342202</v>
      </c>
      <c r="AC17" s="802">
        <f t="shared" si="16"/>
        <v>70</v>
      </c>
      <c r="AD17" s="435">
        <f t="shared" si="17"/>
        <v>6.305734594123809</v>
      </c>
      <c r="AE17" s="441">
        <f t="shared" si="18"/>
        <v>9.5993040907984675</v>
      </c>
      <c r="AF17" s="440"/>
    </row>
    <row r="18" spans="1:32">
      <c r="A18" s="455">
        <v>1967</v>
      </c>
      <c r="B18" s="440">
        <f t="shared" si="0"/>
        <v>1971</v>
      </c>
      <c r="C18" s="458">
        <f>LN(VLOOKUP($A18,'Brd Link'!$A$12:$E$60,4))</f>
        <v>7.4317194294202729</v>
      </c>
      <c r="D18" s="458">
        <f>VLOOKUP($A18,'Brd Tbl'!$A$8:$AX$64,12)</f>
        <v>7.7507051389466728</v>
      </c>
      <c r="E18" s="461">
        <v>48</v>
      </c>
      <c r="F18" s="461">
        <v>46</v>
      </c>
      <c r="G18" s="462">
        <v>5.9196597672359088</v>
      </c>
      <c r="H18" s="462">
        <v>0.52540395922639516</v>
      </c>
      <c r="I18" s="463">
        <v>0.11665845795019124</v>
      </c>
      <c r="J18" s="461">
        <v>9.8243145793130466</v>
      </c>
      <c r="K18" s="461">
        <v>1.2140940289914348</v>
      </c>
      <c r="L18" s="461">
        <v>0.30601683689517734</v>
      </c>
      <c r="M18" s="462">
        <v>1.5136680820017834</v>
      </c>
      <c r="N18" s="458">
        <f t="shared" si="1"/>
        <v>-2.0736094403663738</v>
      </c>
      <c r="O18" s="440">
        <f t="shared" si="2"/>
        <v>4.2998561111765463</v>
      </c>
      <c r="P18" s="465">
        <f t="shared" si="3"/>
        <v>9.8243145793130466</v>
      </c>
      <c r="Q18" s="440">
        <f t="shared" si="4"/>
        <v>8.1775298309757183</v>
      </c>
      <c r="R18" s="440">
        <f t="shared" si="5"/>
        <v>11.471099327650375</v>
      </c>
      <c r="S18" s="466">
        <f t="shared" si="6"/>
        <v>-16154.392059035352</v>
      </c>
      <c r="T18" s="440">
        <f t="shared" si="7"/>
        <v>260964382.79702443</v>
      </c>
      <c r="U18" s="466">
        <f t="shared" si="8"/>
        <v>18477.602082076359</v>
      </c>
      <c r="V18" s="467">
        <f t="shared" si="9"/>
        <v>3560.049865730763</v>
      </c>
      <c r="W18" s="467">
        <f t="shared" si="10"/>
        <v>95903.650673575525</v>
      </c>
      <c r="X18" s="468">
        <f t="shared" si="11"/>
        <v>6.9534789790075759</v>
      </c>
      <c r="Y18" s="468">
        <f t="shared" si="12"/>
        <v>6.9534789790075759</v>
      </c>
      <c r="Z18" s="441">
        <f t="shared" si="13"/>
        <v>7.4317194294202729</v>
      </c>
      <c r="AA18" s="471">
        <f t="shared" si="14"/>
        <v>9.7395871405844794</v>
      </c>
      <c r="AB18" s="441">
        <f t="shared" si="15"/>
        <v>7.7507051389466728</v>
      </c>
      <c r="AC18" s="802">
        <f t="shared" si="16"/>
        <v>71</v>
      </c>
      <c r="AD18" s="435">
        <f t="shared" si="17"/>
        <v>8.092802392247151</v>
      </c>
      <c r="AE18" s="441">
        <f t="shared" si="18"/>
        <v>11.386371888921808</v>
      </c>
      <c r="AF18" s="440"/>
    </row>
    <row r="19" spans="1:32">
      <c r="A19" s="455">
        <v>1968</v>
      </c>
      <c r="B19" s="440">
        <f t="shared" si="0"/>
        <v>1972</v>
      </c>
      <c r="C19" s="458">
        <f>LN(VLOOKUP($A19,'Brd Link'!$A$12:$E$60,4))</f>
        <v>7.6639367951832256</v>
      </c>
      <c r="D19" s="458">
        <f>VLOOKUP($A19,'Brd Tbl'!$A$8:$AX$64,12)</f>
        <v>9.7741257277297162</v>
      </c>
      <c r="E19" s="461">
        <v>48</v>
      </c>
      <c r="F19" s="461">
        <v>46</v>
      </c>
      <c r="G19" s="462">
        <v>5.6373926210887966</v>
      </c>
      <c r="H19" s="462">
        <v>0.55247885773412264</v>
      </c>
      <c r="I19" s="463">
        <v>0.11978291016720009</v>
      </c>
      <c r="J19" s="461">
        <v>9.8715556674381375</v>
      </c>
      <c r="K19" s="461">
        <v>1.2503923103157621</v>
      </c>
      <c r="L19" s="461">
        <v>0.31622539383392462</v>
      </c>
      <c r="M19" s="462">
        <v>1.6030506552939701</v>
      </c>
      <c r="N19" s="458">
        <f t="shared" si="1"/>
        <v>-9.7429939708421287E-2</v>
      </c>
      <c r="O19" s="440">
        <f t="shared" si="2"/>
        <v>9.4925931515866067E-3</v>
      </c>
      <c r="P19" s="465">
        <f t="shared" si="3"/>
        <v>9.8715556674381375</v>
      </c>
      <c r="Q19" s="440">
        <f t="shared" si="4"/>
        <v>8.2247709191008092</v>
      </c>
      <c r="R19" s="440">
        <f t="shared" si="5"/>
        <v>11.518340415775466</v>
      </c>
      <c r="S19" s="466">
        <f t="shared" si="6"/>
        <v>-1798.3313113364493</v>
      </c>
      <c r="T19" s="440">
        <f t="shared" si="7"/>
        <v>3233995.5053330734</v>
      </c>
      <c r="U19" s="466">
        <f t="shared" si="8"/>
        <v>19371.451081138868</v>
      </c>
      <c r="V19" s="467">
        <f t="shared" si="9"/>
        <v>3732.2663143241011</v>
      </c>
      <c r="W19" s="467">
        <f t="shared" si="10"/>
        <v>100542.96381497981</v>
      </c>
      <c r="X19" s="468">
        <f t="shared" si="11"/>
        <v>0.10233420900179005</v>
      </c>
      <c r="Y19" s="468">
        <f t="shared" si="12"/>
        <v>0.10233420900179005</v>
      </c>
      <c r="Z19" s="441">
        <f t="shared" si="13"/>
        <v>7.6639367951832256</v>
      </c>
      <c r="AA19" s="471">
        <f t="shared" si="14"/>
        <v>9.868142464763185</v>
      </c>
      <c r="AB19" s="441">
        <f t="shared" si="15"/>
        <v>9.7741257277297162</v>
      </c>
      <c r="AC19" s="802">
        <f t="shared" si="16"/>
        <v>72</v>
      </c>
      <c r="AD19" s="435">
        <f t="shared" si="17"/>
        <v>8.2213577164258567</v>
      </c>
      <c r="AE19" s="441">
        <f t="shared" si="18"/>
        <v>11.514927213100513</v>
      </c>
      <c r="AF19" s="440"/>
    </row>
    <row r="20" spans="1:32">
      <c r="A20" s="455">
        <v>1969</v>
      </c>
      <c r="B20" s="440">
        <f t="shared" si="0"/>
        <v>1973</v>
      </c>
      <c r="C20" s="458">
        <f>LN(VLOOKUP($A20,'Brd Link'!$A$12:$E$60,4))</f>
        <v>7.6027317587172334</v>
      </c>
      <c r="D20" s="458">
        <f>VLOOKUP($A20,'Brd Tbl'!$A$8:$AX$64,12)</f>
        <v>10.145609862448119</v>
      </c>
      <c r="E20" s="461">
        <v>48</v>
      </c>
      <c r="F20" s="461">
        <v>46</v>
      </c>
      <c r="G20" s="462">
        <v>5.5840015860108831</v>
      </c>
      <c r="H20" s="462">
        <v>0.55749327714106356</v>
      </c>
      <c r="I20" s="463">
        <v>0.11979623234957869</v>
      </c>
      <c r="J20" s="461">
        <v>9.8224734294025957</v>
      </c>
      <c r="K20" s="461">
        <v>1.2495971014779985</v>
      </c>
      <c r="L20" s="461">
        <v>0.32009723653911654</v>
      </c>
      <c r="M20" s="462">
        <v>1.6010730602687662</v>
      </c>
      <c r="N20" s="458">
        <f t="shared" si="1"/>
        <v>0.32313643304552286</v>
      </c>
      <c r="O20" s="440">
        <f t="shared" si="2"/>
        <v>0.10441715436138369</v>
      </c>
      <c r="P20" s="465">
        <f t="shared" si="3"/>
        <v>9.8224734294025957</v>
      </c>
      <c r="Q20" s="440">
        <f t="shared" si="4"/>
        <v>8.1756886810652674</v>
      </c>
      <c r="R20" s="440">
        <f t="shared" si="5"/>
        <v>11.469258177739924</v>
      </c>
      <c r="S20" s="466">
        <f t="shared" si="6"/>
        <v>7035.3866545613419</v>
      </c>
      <c r="T20" s="440">
        <f t="shared" si="7"/>
        <v>49496665.379179828</v>
      </c>
      <c r="U20" s="466">
        <f t="shared" si="8"/>
        <v>18443.613345438647</v>
      </c>
      <c r="V20" s="467">
        <f t="shared" si="9"/>
        <v>3553.5013105250628</v>
      </c>
      <c r="W20" s="467">
        <f t="shared" si="10"/>
        <v>95727.240124692617</v>
      </c>
      <c r="X20" s="468">
        <f t="shared" si="11"/>
        <v>-0.27612491285220553</v>
      </c>
      <c r="Y20" s="468">
        <f t="shared" si="12"/>
        <v>0.27612491285220553</v>
      </c>
      <c r="Z20" s="441">
        <f t="shared" si="13"/>
        <v>7.6027317587172334</v>
      </c>
      <c r="AA20" s="471">
        <f t="shared" si="14"/>
        <v>9.8342594117950988</v>
      </c>
      <c r="AB20" s="441">
        <f t="shared" si="15"/>
        <v>10.145609862448119</v>
      </c>
      <c r="AC20" s="802">
        <f t="shared" si="16"/>
        <v>73</v>
      </c>
      <c r="AD20" s="435">
        <f t="shared" si="17"/>
        <v>8.1874746634577704</v>
      </c>
      <c r="AE20" s="441">
        <f t="shared" si="18"/>
        <v>11.481044160132427</v>
      </c>
      <c r="AF20" s="440"/>
    </row>
    <row r="21" spans="1:32">
      <c r="A21" s="455">
        <v>1970</v>
      </c>
      <c r="B21" s="440">
        <f t="shared" si="0"/>
        <v>1974</v>
      </c>
      <c r="C21" s="458">
        <f>LN(VLOOKUP($A21,'Brd Link'!$A$12:$E$60,4))</f>
        <v>10.094320373460834</v>
      </c>
      <c r="D21" s="458">
        <f>VLOOKUP($A21,'Brd Tbl'!$A$8:$AX$64,12)</f>
        <v>8.8651800515007348</v>
      </c>
      <c r="E21" s="461">
        <v>48</v>
      </c>
      <c r="F21" s="461">
        <v>46</v>
      </c>
      <c r="G21" s="462">
        <v>5.4477728970962787</v>
      </c>
      <c r="H21" s="462">
        <v>0.57902032857892138</v>
      </c>
      <c r="I21" s="463">
        <v>0.11479758175780815</v>
      </c>
      <c r="J21" s="461">
        <v>11.292589596518471</v>
      </c>
      <c r="K21" s="461">
        <v>1.1998976795595531</v>
      </c>
      <c r="L21" s="461">
        <v>0.35610568272762616</v>
      </c>
      <c r="M21" s="462">
        <v>1.4804918114170615</v>
      </c>
      <c r="N21" s="458">
        <f t="shared" si="1"/>
        <v>-2.4274095450177366</v>
      </c>
      <c r="O21" s="440">
        <f t="shared" si="2"/>
        <v>5.8923170992432157</v>
      </c>
      <c r="P21" s="465">
        <f t="shared" si="3"/>
        <v>11.292589596518471</v>
      </c>
      <c r="Q21" s="440">
        <f t="shared" si="4"/>
        <v>9.6458048481811431</v>
      </c>
      <c r="R21" s="440">
        <f t="shared" si="5"/>
        <v>12.9393743448558</v>
      </c>
      <c r="S21" s="466">
        <f t="shared" si="6"/>
        <v>-73143.862044184076</v>
      </c>
      <c r="T21" s="440">
        <f t="shared" si="7"/>
        <v>5350024554.7386322</v>
      </c>
      <c r="U21" s="466">
        <f t="shared" si="8"/>
        <v>80224.930247635028</v>
      </c>
      <c r="V21" s="467">
        <f t="shared" si="9"/>
        <v>15456.808242093015</v>
      </c>
      <c r="W21" s="467">
        <f t="shared" si="10"/>
        <v>416388.64456575527</v>
      </c>
      <c r="X21" s="468">
        <f t="shared" si="11"/>
        <v>10.329495486081811</v>
      </c>
      <c r="Y21" s="468">
        <f t="shared" si="12"/>
        <v>10.329495486081811</v>
      </c>
      <c r="Z21" s="441">
        <f t="shared" si="13"/>
        <v>10.094320373460834</v>
      </c>
      <c r="AA21" s="471">
        <f t="shared" si="14"/>
        <v>11.213600620993468</v>
      </c>
      <c r="AB21" s="441">
        <f t="shared" si="15"/>
        <v>8.8651800515007348</v>
      </c>
      <c r="AC21" s="802">
        <f t="shared" si="16"/>
        <v>74</v>
      </c>
      <c r="AD21" s="435">
        <f t="shared" si="17"/>
        <v>9.5668158726561394</v>
      </c>
      <c r="AE21" s="441">
        <f t="shared" si="18"/>
        <v>12.860385369330796</v>
      </c>
      <c r="AF21" s="440"/>
    </row>
    <row r="22" spans="1:32">
      <c r="A22" s="455">
        <v>1971</v>
      </c>
      <c r="B22" s="440">
        <f t="shared" si="0"/>
        <v>1975</v>
      </c>
      <c r="C22" s="458">
        <f>LN(VLOOKUP($A22,'Brd Link'!$A$12:$E$60,4))</f>
        <v>7.183103439062938</v>
      </c>
      <c r="D22" s="458">
        <f>VLOOKUP($A22,'Brd Tbl'!$A$8:$AX$64,12)</f>
        <v>8.0935587151970356</v>
      </c>
      <c r="E22" s="461">
        <v>48</v>
      </c>
      <c r="F22" s="461">
        <v>46</v>
      </c>
      <c r="G22" s="462">
        <v>5.8821118854039414</v>
      </c>
      <c r="H22" s="462">
        <v>0.52848941106755376</v>
      </c>
      <c r="I22" s="463">
        <v>0.11859388234502995</v>
      </c>
      <c r="J22" s="461">
        <v>9.6783059915516336</v>
      </c>
      <c r="K22" s="461">
        <v>1.229517917198792</v>
      </c>
      <c r="L22" s="461">
        <v>0.30153359112014327</v>
      </c>
      <c r="M22" s="462">
        <v>1.5509270857781015</v>
      </c>
      <c r="N22" s="458">
        <f t="shared" si="1"/>
        <v>-1.584747276354598</v>
      </c>
      <c r="O22" s="440">
        <f t="shared" si="2"/>
        <v>2.5114239299133168</v>
      </c>
      <c r="P22" s="465">
        <f t="shared" si="3"/>
        <v>9.6783059915516336</v>
      </c>
      <c r="Q22" s="440">
        <f t="shared" si="4"/>
        <v>8.0315212432143035</v>
      </c>
      <c r="R22" s="440">
        <f t="shared" si="5"/>
        <v>11.325090739888964</v>
      </c>
      <c r="S22" s="466">
        <f t="shared" si="6"/>
        <v>-12694.10938496257</v>
      </c>
      <c r="T22" s="440">
        <f t="shared" si="7"/>
        <v>161140413.07739481</v>
      </c>
      <c r="U22" s="466">
        <f t="shared" si="8"/>
        <v>15967.425050581365</v>
      </c>
      <c r="V22" s="467">
        <f t="shared" si="9"/>
        <v>3076.4180955346328</v>
      </c>
      <c r="W22" s="467">
        <f t="shared" si="10"/>
        <v>82875.166777884122</v>
      </c>
      <c r="X22" s="468">
        <f t="shared" si="11"/>
        <v>3.8780584220137677</v>
      </c>
      <c r="Y22" s="468">
        <f t="shared" si="12"/>
        <v>3.8780584220137677</v>
      </c>
      <c r="Z22" s="441">
        <f t="shared" si="13"/>
        <v>7.183103439062938</v>
      </c>
      <c r="AA22" s="471">
        <f t="shared" si="14"/>
        <v>9.6019535526252469</v>
      </c>
      <c r="AB22" s="441">
        <f t="shared" si="15"/>
        <v>8.0935587151970356</v>
      </c>
      <c r="AC22" s="802">
        <f t="shared" si="16"/>
        <v>75</v>
      </c>
      <c r="AD22" s="435">
        <f t="shared" si="17"/>
        <v>7.9551688042879176</v>
      </c>
      <c r="AE22" s="441">
        <f t="shared" si="18"/>
        <v>11.248738300962575</v>
      </c>
      <c r="AF22" s="440"/>
    </row>
    <row r="23" spans="1:32">
      <c r="A23" s="957">
        <v>1972</v>
      </c>
      <c r="B23" s="440">
        <f t="shared" si="0"/>
        <v>1976</v>
      </c>
      <c r="C23" s="458">
        <f>LN(VLOOKUP($A23,'Brd Link'!$A$12:$E$60,4))</f>
        <v>6.9567747344682118</v>
      </c>
      <c r="D23" s="458">
        <f>VLOOKUP($A23,'Brd Tbl'!$A$8:$AX$64,12)</f>
        <v>9.4293031174291908</v>
      </c>
      <c r="E23" s="461">
        <v>48</v>
      </c>
      <c r="F23" s="461">
        <v>46</v>
      </c>
      <c r="G23" s="462">
        <v>5.6344355912298916</v>
      </c>
      <c r="H23" s="462">
        <v>0.55270180527788126</v>
      </c>
      <c r="I23" s="463">
        <v>0.12109971566308866</v>
      </c>
      <c r="J23" s="461">
        <v>9.4794575458820258</v>
      </c>
      <c r="K23" s="461">
        <v>1.2504512902276932</v>
      </c>
      <c r="L23" s="461">
        <v>0.31168945555639616</v>
      </c>
      <c r="M23" s="462">
        <v>1.6031960120951823</v>
      </c>
      <c r="N23" s="458">
        <f t="shared" si="1"/>
        <v>-5.015442845283502E-2</v>
      </c>
      <c r="O23" s="440">
        <f t="shared" si="2"/>
        <v>2.515466693430547E-3</v>
      </c>
      <c r="P23" s="465">
        <f t="shared" si="3"/>
        <v>9.4794575458820258</v>
      </c>
      <c r="Q23" s="440">
        <f t="shared" si="4"/>
        <v>7.8326727975446966</v>
      </c>
      <c r="R23" s="440">
        <f t="shared" si="5"/>
        <v>11.126242294219356</v>
      </c>
      <c r="S23" s="466">
        <f t="shared" si="6"/>
        <v>-640.23588338755144</v>
      </c>
      <c r="T23" s="440">
        <f t="shared" si="7"/>
        <v>409901.98637703835</v>
      </c>
      <c r="U23" s="466">
        <f t="shared" si="8"/>
        <v>13088.084902648327</v>
      </c>
      <c r="V23" s="467">
        <f t="shared" si="9"/>
        <v>2521.6602616171335</v>
      </c>
      <c r="W23" s="467">
        <f t="shared" si="10"/>
        <v>67930.628493577606</v>
      </c>
      <c r="X23" s="468">
        <f t="shared" si="11"/>
        <v>5.1433455081026709E-2</v>
      </c>
      <c r="Y23" s="468">
        <f t="shared" si="12"/>
        <v>5.1433455081026709E-2</v>
      </c>
      <c r="Z23" s="441">
        <f t="shared" si="13"/>
        <v>6.9567747344682118</v>
      </c>
      <c r="AA23" s="471">
        <f t="shared" si="14"/>
        <v>9.4766581859564951</v>
      </c>
      <c r="AB23" s="441">
        <f t="shared" si="15"/>
        <v>9.4293031174291908</v>
      </c>
      <c r="AC23" s="802">
        <f t="shared" si="16"/>
        <v>76</v>
      </c>
      <c r="AD23" s="435">
        <f t="shared" si="17"/>
        <v>7.8298734376191659</v>
      </c>
      <c r="AE23" s="441">
        <f t="shared" si="18"/>
        <v>11.123442934293823</v>
      </c>
      <c r="AF23" s="440"/>
    </row>
    <row r="24" spans="1:32">
      <c r="A24" s="957">
        <v>1973</v>
      </c>
      <c r="B24" s="440">
        <f t="shared" si="0"/>
        <v>1977</v>
      </c>
      <c r="C24" s="458">
        <f>LN(VLOOKUP($A24,'Brd Link'!$A$12:$E$60,4))</f>
        <v>7.3308201925797913</v>
      </c>
      <c r="D24" s="458">
        <f>VLOOKUP($A24,'Brd Tbl'!$A$8:$AX$64,12)</f>
        <v>10.217352589747847</v>
      </c>
      <c r="E24" s="461">
        <v>48</v>
      </c>
      <c r="F24" s="461">
        <v>46</v>
      </c>
      <c r="G24" s="462">
        <v>5.5416593512416537</v>
      </c>
      <c r="H24" s="462">
        <v>0.56169534278358357</v>
      </c>
      <c r="I24" s="463">
        <v>0.12008259523977118</v>
      </c>
      <c r="J24" s="461">
        <v>9.6593469121975755</v>
      </c>
      <c r="K24" s="461">
        <v>1.2478809695308173</v>
      </c>
      <c r="L24" s="461">
        <v>0.32233061137294672</v>
      </c>
      <c r="M24" s="462">
        <v>1.5967615356475797</v>
      </c>
      <c r="N24" s="458">
        <f t="shared" si="1"/>
        <v>0.55800567755027153</v>
      </c>
      <c r="O24" s="440">
        <f t="shared" si="2"/>
        <v>0.31137033617833759</v>
      </c>
      <c r="P24" s="465">
        <f t="shared" si="3"/>
        <v>9.6593469121975755</v>
      </c>
      <c r="Q24" s="440">
        <f t="shared" si="4"/>
        <v>8.0125621638602453</v>
      </c>
      <c r="R24" s="440">
        <f t="shared" si="5"/>
        <v>11.306131660534906</v>
      </c>
      <c r="S24" s="466">
        <f t="shared" si="6"/>
        <v>11706.550955866223</v>
      </c>
      <c r="T24" s="440">
        <f t="shared" si="7"/>
        <v>137043335.2822924</v>
      </c>
      <c r="U24" s="466">
        <f t="shared" si="8"/>
        <v>15667.549040898837</v>
      </c>
      <c r="V24" s="467">
        <f t="shared" si="9"/>
        <v>3018.6414672002816</v>
      </c>
      <c r="W24" s="467">
        <f t="shared" si="10"/>
        <v>81318.730831800189</v>
      </c>
      <c r="X24" s="468">
        <f t="shared" si="11"/>
        <v>-0.42765062439494439</v>
      </c>
      <c r="Y24" s="468">
        <f t="shared" si="12"/>
        <v>0.42765062439494439</v>
      </c>
      <c r="Z24" s="441">
        <f t="shared" si="13"/>
        <v>7.3308201925797913</v>
      </c>
      <c r="AA24" s="471">
        <f t="shared" si="14"/>
        <v>9.6837294141013857</v>
      </c>
      <c r="AB24" s="441">
        <f t="shared" si="15"/>
        <v>10.217352589747847</v>
      </c>
      <c r="AC24" s="802">
        <f t="shared" si="16"/>
        <v>77</v>
      </c>
      <c r="AD24" s="435">
        <f t="shared" si="17"/>
        <v>8.0369446657640573</v>
      </c>
      <c r="AE24" s="441">
        <f t="shared" si="18"/>
        <v>11.330514162438714</v>
      </c>
      <c r="AF24" s="440"/>
    </row>
    <row r="25" spans="1:32">
      <c r="A25" s="957">
        <v>1974</v>
      </c>
      <c r="B25" s="440">
        <f t="shared" si="0"/>
        <v>1978</v>
      </c>
      <c r="C25" s="458">
        <f>LN(VLOOKUP($A25,'Brd Link'!$A$12:$E$60,4))</f>
        <v>8.9295922381264159</v>
      </c>
      <c r="D25" s="458">
        <f>VLOOKUP($A25,'Brd Tbl'!$A$8:$AX$64,12)</f>
        <v>8.8781335483064883</v>
      </c>
      <c r="E25" s="461">
        <v>48</v>
      </c>
      <c r="F25" s="461">
        <v>46</v>
      </c>
      <c r="G25" s="462">
        <v>5.6614873676962727</v>
      </c>
      <c r="H25" s="462">
        <v>0.55350162541739056</v>
      </c>
      <c r="I25" s="463">
        <v>0.11645651410064248</v>
      </c>
      <c r="J25" s="461">
        <v>10.604031185813758</v>
      </c>
      <c r="K25" s="461">
        <v>1.2248456110800769</v>
      </c>
      <c r="L25" s="461">
        <v>0.32934524885136329</v>
      </c>
      <c r="M25" s="462">
        <v>1.5411916956689373</v>
      </c>
      <c r="N25" s="458">
        <f t="shared" si="1"/>
        <v>-1.7258976375072699</v>
      </c>
      <c r="O25" s="440">
        <f t="shared" si="2"/>
        <v>2.9787226551531756</v>
      </c>
      <c r="P25" s="465">
        <f t="shared" si="3"/>
        <v>10.604031185813758</v>
      </c>
      <c r="Q25" s="440">
        <f t="shared" si="4"/>
        <v>8.957246437476428</v>
      </c>
      <c r="R25" s="440">
        <f t="shared" si="5"/>
        <v>12.250815934151088</v>
      </c>
      <c r="S25" s="466">
        <f t="shared" si="6"/>
        <v>-33123.565513189846</v>
      </c>
      <c r="T25" s="440">
        <f t="shared" si="7"/>
        <v>1097170592.3065796</v>
      </c>
      <c r="U25" s="466">
        <f t="shared" si="8"/>
        <v>40296.954961569274</v>
      </c>
      <c r="V25" s="467">
        <f t="shared" si="9"/>
        <v>7763.9494812723187</v>
      </c>
      <c r="W25" s="467">
        <f t="shared" si="10"/>
        <v>209151.87342365793</v>
      </c>
      <c r="X25" s="468">
        <f t="shared" si="11"/>
        <v>4.6175613009095615</v>
      </c>
      <c r="Y25" s="468">
        <f t="shared" si="12"/>
        <v>4.6175613009095615</v>
      </c>
      <c r="Z25" s="441">
        <f t="shared" si="13"/>
        <v>8.9295922381264159</v>
      </c>
      <c r="AA25" s="471">
        <f t="shared" si="14"/>
        <v>10.568808176095875</v>
      </c>
      <c r="AB25" s="441">
        <f t="shared" si="15"/>
        <v>8.8781335483064883</v>
      </c>
      <c r="AC25" s="802">
        <f t="shared" si="16"/>
        <v>78</v>
      </c>
      <c r="AD25" s="435">
        <f t="shared" si="17"/>
        <v>8.9220234277585462</v>
      </c>
      <c r="AE25" s="441">
        <f t="shared" si="18"/>
        <v>12.215592924433203</v>
      </c>
      <c r="AF25" s="440"/>
    </row>
    <row r="26" spans="1:32">
      <c r="A26" s="957">
        <v>1975</v>
      </c>
      <c r="B26" s="440">
        <f t="shared" si="0"/>
        <v>1979</v>
      </c>
      <c r="C26" s="458">
        <f>LN(VLOOKUP($A26,'Brd Link'!$A$12:$E$60,4))</f>
        <v>6.8938697503515991</v>
      </c>
      <c r="D26" s="458">
        <f>VLOOKUP($A26,'Brd Tbl'!$A$8:$AX$64,12)</f>
        <v>9.2582345420544776</v>
      </c>
      <c r="E26" s="461">
        <v>48</v>
      </c>
      <c r="F26" s="461">
        <v>46</v>
      </c>
      <c r="G26" s="462">
        <v>5.6615246785239943</v>
      </c>
      <c r="H26" s="462">
        <v>0.55000093009112705</v>
      </c>
      <c r="I26" s="463">
        <v>0.12121845420843917</v>
      </c>
      <c r="J26" s="461">
        <v>9.45315945314446</v>
      </c>
      <c r="K26" s="461">
        <v>1.2501608130867654</v>
      </c>
      <c r="L26" s="461">
        <v>0.30917264394923821</v>
      </c>
      <c r="M26" s="462">
        <v>1.6024568401312236</v>
      </c>
      <c r="N26" s="458">
        <f t="shared" si="1"/>
        <v>-0.19492491108998244</v>
      </c>
      <c r="O26" s="440">
        <f t="shared" si="2"/>
        <v>3.7995720963437563E-2</v>
      </c>
      <c r="P26" s="465">
        <f t="shared" si="3"/>
        <v>9.45315945314446</v>
      </c>
      <c r="Q26" s="440">
        <f t="shared" si="4"/>
        <v>7.8063747048071308</v>
      </c>
      <c r="R26" s="440">
        <f t="shared" si="5"/>
        <v>11.09994420148179</v>
      </c>
      <c r="S26" s="466">
        <f t="shared" si="6"/>
        <v>-2257.7833350759647</v>
      </c>
      <c r="T26" s="440">
        <f t="shared" si="7"/>
        <v>5097585.5881467462</v>
      </c>
      <c r="U26" s="466">
        <f t="shared" si="8"/>
        <v>12748.379610588925</v>
      </c>
      <c r="V26" s="467">
        <f t="shared" si="9"/>
        <v>2456.2097895259953</v>
      </c>
      <c r="W26" s="467">
        <f t="shared" si="10"/>
        <v>66167.46801870018</v>
      </c>
      <c r="X26" s="468">
        <f t="shared" si="11"/>
        <v>0.2152197335385081</v>
      </c>
      <c r="Y26" s="468">
        <f t="shared" si="12"/>
        <v>0.2152197335385081</v>
      </c>
      <c r="Z26" s="441">
        <f t="shared" si="13"/>
        <v>6.8938697503515991</v>
      </c>
      <c r="AA26" s="471">
        <f t="shared" si="14"/>
        <v>9.4418340435027286</v>
      </c>
      <c r="AB26" s="441">
        <f t="shared" si="15"/>
        <v>9.2582345420544776</v>
      </c>
      <c r="AC26" s="802">
        <f t="shared" si="16"/>
        <v>79</v>
      </c>
      <c r="AD26" s="435">
        <f t="shared" si="17"/>
        <v>7.7950492951653994</v>
      </c>
      <c r="AE26" s="441">
        <f t="shared" si="18"/>
        <v>11.088618791840059</v>
      </c>
      <c r="AF26" s="440"/>
    </row>
    <row r="27" spans="1:32">
      <c r="A27" s="455">
        <v>1976</v>
      </c>
      <c r="B27" s="440">
        <f t="shared" si="0"/>
        <v>1980</v>
      </c>
      <c r="C27" s="458">
        <f>LN(VLOOKUP($A27,'Brd Link'!$A$12:$E$60,4))</f>
        <v>8.3645249297946567</v>
      </c>
      <c r="D27" s="458">
        <f>VLOOKUP($A27,'Brd Tbl'!$A$8:$AX$64,12)</f>
        <v>8.586839002480172</v>
      </c>
      <c r="E27" s="461">
        <v>48</v>
      </c>
      <c r="F27" s="461">
        <v>46</v>
      </c>
      <c r="G27" s="462">
        <v>5.7391472381167246</v>
      </c>
      <c r="H27" s="462">
        <v>0.54477236332874568</v>
      </c>
      <c r="I27" s="463">
        <v>0.11668739582878815</v>
      </c>
      <c r="J27" s="461">
        <v>10.29590925224317</v>
      </c>
      <c r="K27" s="461">
        <v>1.2254244242692407</v>
      </c>
      <c r="L27" s="461">
        <v>0.32149662604370133</v>
      </c>
      <c r="M27" s="462">
        <v>1.5423958943466083</v>
      </c>
      <c r="N27" s="458">
        <f t="shared" si="1"/>
        <v>-1.7090702497629984</v>
      </c>
      <c r="O27" s="440">
        <f t="shared" si="2"/>
        <v>2.9209211186249577</v>
      </c>
      <c r="P27" s="465">
        <f t="shared" si="3"/>
        <v>10.29590925224317</v>
      </c>
      <c r="Q27" s="440">
        <f t="shared" si="4"/>
        <v>8.649124503905842</v>
      </c>
      <c r="R27" s="440">
        <f t="shared" si="5"/>
        <v>11.942694000580499</v>
      </c>
      <c r="S27" s="466">
        <f t="shared" si="6"/>
        <v>-24250.596756247254</v>
      </c>
      <c r="T27" s="440">
        <f t="shared" si="7"/>
        <v>588091443.03410983</v>
      </c>
      <c r="U27" s="466">
        <f t="shared" si="8"/>
        <v>29611.238646185277</v>
      </c>
      <c r="V27" s="467">
        <f t="shared" si="9"/>
        <v>5705.1497103474558</v>
      </c>
      <c r="W27" s="467">
        <f t="shared" si="10"/>
        <v>153690.17443504318</v>
      </c>
      <c r="X27" s="468">
        <f t="shared" si="11"/>
        <v>4.5238233133546677</v>
      </c>
      <c r="Y27" s="468">
        <f t="shared" si="12"/>
        <v>4.5238233133546677</v>
      </c>
      <c r="Z27" s="441">
        <f t="shared" si="13"/>
        <v>8.3645249297946567</v>
      </c>
      <c r="AA27" s="471">
        <f t="shared" si="14"/>
        <v>10.255987424009959</v>
      </c>
      <c r="AB27" s="441">
        <f t="shared" si="15"/>
        <v>8.586839002480172</v>
      </c>
      <c r="AC27" s="802">
        <f t="shared" si="16"/>
        <v>80</v>
      </c>
      <c r="AD27" s="435">
        <f t="shared" si="17"/>
        <v>8.6092026756726305</v>
      </c>
      <c r="AE27" s="441">
        <f t="shared" si="18"/>
        <v>11.902772172347287</v>
      </c>
      <c r="AF27" s="440"/>
    </row>
    <row r="28" spans="1:32">
      <c r="A28" s="455">
        <v>1977</v>
      </c>
      <c r="B28" s="440">
        <f t="shared" si="0"/>
        <v>1981</v>
      </c>
      <c r="C28" s="458">
        <f>LN(VLOOKUP($A28,'Brd Link'!$A$12:$E$60,4))</f>
        <v>8.586839002480172</v>
      </c>
      <c r="D28" s="458">
        <f>VLOOKUP($A28,'Brd Tbl'!$A$8:$AX$64,12)</f>
        <v>12.238417612427757</v>
      </c>
      <c r="E28" s="461">
        <v>48</v>
      </c>
      <c r="F28" s="461">
        <v>46</v>
      </c>
      <c r="G28" s="462">
        <v>5.5330424334416595</v>
      </c>
      <c r="H28" s="462">
        <v>0.55959420710546559</v>
      </c>
      <c r="I28" s="463">
        <v>0.11600140538046619</v>
      </c>
      <c r="J28" s="461">
        <v>10.33818779657684</v>
      </c>
      <c r="K28" s="461">
        <v>1.2193732940969955</v>
      </c>
      <c r="L28" s="461">
        <v>0.33594395011557443</v>
      </c>
      <c r="M28" s="462">
        <v>1.5280218894627782</v>
      </c>
      <c r="N28" s="458">
        <f t="shared" si="1"/>
        <v>1.900229815850917</v>
      </c>
      <c r="O28" s="440">
        <f t="shared" si="2"/>
        <v>3.61087335304881</v>
      </c>
      <c r="P28" s="465">
        <f t="shared" si="3"/>
        <v>10.33818779657684</v>
      </c>
      <c r="Q28" s="440">
        <f t="shared" si="4"/>
        <v>8.6914030482395113</v>
      </c>
      <c r="R28" s="440">
        <f t="shared" si="5"/>
        <v>11.984972544914168</v>
      </c>
      <c r="S28" s="466">
        <f t="shared" si="6"/>
        <v>175684.74989230157</v>
      </c>
      <c r="T28" s="440">
        <f t="shared" si="7"/>
        <v>30865131344.720554</v>
      </c>
      <c r="U28" s="466">
        <f t="shared" si="8"/>
        <v>30890.000329417519</v>
      </c>
      <c r="V28" s="467">
        <f t="shared" si="9"/>
        <v>5951.5266665385707</v>
      </c>
      <c r="W28" s="467">
        <f t="shared" si="10"/>
        <v>160327.28639463123</v>
      </c>
      <c r="X28" s="468">
        <f t="shared" si="11"/>
        <v>-0.85046575006740699</v>
      </c>
      <c r="Y28" s="468">
        <f t="shared" si="12"/>
        <v>0.85046575006740699</v>
      </c>
      <c r="Z28" s="441">
        <f t="shared" si="13"/>
        <v>8.586839002480172</v>
      </c>
      <c r="AA28" s="471">
        <f t="shared" si="14"/>
        <v>10.379060294075794</v>
      </c>
      <c r="AB28" s="441">
        <f t="shared" si="15"/>
        <v>12.238417612427757</v>
      </c>
      <c r="AC28" s="802">
        <f t="shared" si="16"/>
        <v>81</v>
      </c>
      <c r="AD28" s="435">
        <f t="shared" si="17"/>
        <v>8.7322755457384638</v>
      </c>
      <c r="AE28" s="441">
        <f t="shared" si="18"/>
        <v>12.025845042413124</v>
      </c>
      <c r="AF28" s="440"/>
    </row>
    <row r="29" spans="1:32">
      <c r="A29" s="455">
        <v>1978</v>
      </c>
      <c r="B29" s="440">
        <f t="shared" si="0"/>
        <v>1982</v>
      </c>
      <c r="C29" s="458">
        <f>LN(VLOOKUP($A29,'Brd Link'!$A$12:$E$60,4))</f>
        <v>11.283954198754358</v>
      </c>
      <c r="D29" s="458">
        <f>VLOOKUP($A29,'Brd Tbl'!$A$8:$AX$64,12)</f>
        <v>10.808748399681072</v>
      </c>
      <c r="E29" s="461">
        <v>48</v>
      </c>
      <c r="F29" s="461">
        <v>46</v>
      </c>
      <c r="G29" s="462">
        <v>5.4317845554783899</v>
      </c>
      <c r="H29" s="462">
        <v>0.57787795269570619</v>
      </c>
      <c r="I29" s="463">
        <v>0.12100202474946516</v>
      </c>
      <c r="J29" s="461">
        <v>11.952532906166677</v>
      </c>
      <c r="K29" s="461">
        <v>1.2398539997297648</v>
      </c>
      <c r="L29" s="461">
        <v>0.33147296802702791</v>
      </c>
      <c r="M29" s="462">
        <v>1.5759933552080341</v>
      </c>
      <c r="N29" s="458">
        <f t="shared" si="1"/>
        <v>-1.1437845064856056</v>
      </c>
      <c r="O29" s="440">
        <f t="shared" si="2"/>
        <v>1.3082429972765204</v>
      </c>
      <c r="P29" s="465">
        <f t="shared" si="3"/>
        <v>11.952532906166677</v>
      </c>
      <c r="Q29" s="440">
        <f t="shared" si="4"/>
        <v>10.305748157829349</v>
      </c>
      <c r="R29" s="440">
        <f t="shared" si="5"/>
        <v>13.599317654504006</v>
      </c>
      <c r="S29" s="466">
        <f t="shared" si="6"/>
        <v>-105758.24485364728</v>
      </c>
      <c r="T29" s="440">
        <f t="shared" si="7"/>
        <v>11184806354.524012</v>
      </c>
      <c r="U29" s="466">
        <f t="shared" si="8"/>
        <v>155209.78092456842</v>
      </c>
      <c r="V29" s="467">
        <f t="shared" si="9"/>
        <v>29904.018783725183</v>
      </c>
      <c r="W29" s="467">
        <f t="shared" si="10"/>
        <v>805579.88773613225</v>
      </c>
      <c r="X29" s="468">
        <f t="shared" si="11"/>
        <v>2.138624060170216</v>
      </c>
      <c r="Y29" s="468">
        <f t="shared" si="12"/>
        <v>2.138624060170216</v>
      </c>
      <c r="Z29" s="441">
        <f t="shared" si="13"/>
        <v>11.283954198754358</v>
      </c>
      <c r="AA29" s="471">
        <f t="shared" si="14"/>
        <v>11.872180833382387</v>
      </c>
      <c r="AB29" s="441">
        <f t="shared" si="15"/>
        <v>10.808748399681072</v>
      </c>
      <c r="AC29" s="802">
        <f t="shared" si="16"/>
        <v>82</v>
      </c>
      <c r="AD29" s="435">
        <f t="shared" si="17"/>
        <v>10.225396085045059</v>
      </c>
      <c r="AE29" s="441">
        <f t="shared" si="18"/>
        <v>13.518965581719716</v>
      </c>
      <c r="AF29" s="440"/>
    </row>
    <row r="30" spans="1:32">
      <c r="A30" s="455">
        <v>1979</v>
      </c>
      <c r="B30" s="440">
        <f t="shared" si="0"/>
        <v>1983</v>
      </c>
      <c r="C30" s="458">
        <f>LN(VLOOKUP($A30,'Brd Link'!$A$12:$E$60,4))</f>
        <v>9.7332633270381361</v>
      </c>
      <c r="D30" s="458">
        <f>VLOOKUP($A30,'Brd Tbl'!$A$8:$AX$64,12)</f>
        <v>11.306855279311714</v>
      </c>
      <c r="E30" s="461">
        <v>48</v>
      </c>
      <c r="F30" s="461">
        <v>46</v>
      </c>
      <c r="G30" s="462">
        <v>5.6386405144927476</v>
      </c>
      <c r="H30" s="462">
        <v>0.55142923087083151</v>
      </c>
      <c r="I30" s="463">
        <v>0.11917022587796355</v>
      </c>
      <c r="J30" s="461">
        <v>11.005846424784657</v>
      </c>
      <c r="K30" s="461">
        <v>1.2497047166530295</v>
      </c>
      <c r="L30" s="461">
        <v>0.31762232533028373</v>
      </c>
      <c r="M30" s="462">
        <v>1.6013607857658014</v>
      </c>
      <c r="N30" s="458">
        <f t="shared" si="1"/>
        <v>0.30100885452705661</v>
      </c>
      <c r="O30" s="440">
        <f t="shared" si="2"/>
        <v>9.0606330503690727E-2</v>
      </c>
      <c r="P30" s="465">
        <f t="shared" si="3"/>
        <v>11.005846424784657</v>
      </c>
      <c r="Q30" s="440">
        <f t="shared" si="4"/>
        <v>9.3590616764473289</v>
      </c>
      <c r="R30" s="440">
        <f t="shared" si="5"/>
        <v>12.652631173121986</v>
      </c>
      <c r="S30" s="466">
        <f t="shared" si="6"/>
        <v>21152.379239819922</v>
      </c>
      <c r="T30" s="440">
        <f t="shared" si="7"/>
        <v>447423147.5051648</v>
      </c>
      <c r="U30" s="466">
        <f t="shared" si="8"/>
        <v>60225.216647877642</v>
      </c>
      <c r="V30" s="467">
        <f t="shared" si="9"/>
        <v>11603.495599077751</v>
      </c>
      <c r="W30" s="467">
        <f t="shared" si="10"/>
        <v>312584.83181327523</v>
      </c>
      <c r="X30" s="468">
        <f t="shared" si="11"/>
        <v>-0.25992878026294308</v>
      </c>
      <c r="Y30" s="468">
        <f t="shared" si="12"/>
        <v>0.25992878026294308</v>
      </c>
      <c r="Z30" s="441">
        <f t="shared" si="13"/>
        <v>9.7332633270381361</v>
      </c>
      <c r="AA30" s="471">
        <f t="shared" si="14"/>
        <v>11.013719765841333</v>
      </c>
      <c r="AB30" s="441">
        <f t="shared" si="15"/>
        <v>11.306855279311714</v>
      </c>
      <c r="AC30" s="802">
        <f t="shared" si="16"/>
        <v>83</v>
      </c>
      <c r="AD30" s="435">
        <f t="shared" si="17"/>
        <v>9.3669350175040051</v>
      </c>
      <c r="AE30" s="441">
        <f t="shared" si="18"/>
        <v>12.660504514178662</v>
      </c>
      <c r="AF30" s="440"/>
    </row>
    <row r="31" spans="1:32">
      <c r="A31" s="455">
        <v>1980</v>
      </c>
      <c r="B31" s="440">
        <f t="shared" si="0"/>
        <v>1984</v>
      </c>
      <c r="C31" s="458">
        <f>LN(VLOOKUP($A31,'Brd Link'!$A$12:$E$60,4))</f>
        <v>10.155779660590518</v>
      </c>
      <c r="D31" s="458">
        <f>VLOOKUP($A31,'Brd Tbl'!$A$8:$AX$64,12)</f>
        <v>9.7455515916903028</v>
      </c>
      <c r="E31" s="461">
        <v>48</v>
      </c>
      <c r="F31" s="461">
        <v>46</v>
      </c>
      <c r="G31" s="462">
        <v>5.5039117884441948</v>
      </c>
      <c r="H31" s="462">
        <v>0.57074478700089581</v>
      </c>
      <c r="I31" s="463">
        <v>0.11775849635040515</v>
      </c>
      <c r="J31" s="461">
        <v>11.30027008765596</v>
      </c>
      <c r="K31" s="461">
        <v>1.2300051466124704</v>
      </c>
      <c r="L31" s="461">
        <v>0.33804269289943156</v>
      </c>
      <c r="M31" s="462">
        <v>1.5528911342825928</v>
      </c>
      <c r="N31" s="458">
        <f t="shared" si="1"/>
        <v>-1.5547184959656573</v>
      </c>
      <c r="O31" s="440">
        <f t="shared" si="2"/>
        <v>2.4171496016977154</v>
      </c>
      <c r="P31" s="465">
        <f t="shared" si="3"/>
        <v>11.30027008765596</v>
      </c>
      <c r="Q31" s="440">
        <f t="shared" si="4"/>
        <v>9.6534853393186317</v>
      </c>
      <c r="R31" s="440">
        <f t="shared" si="5"/>
        <v>12.947054835993288</v>
      </c>
      <c r="S31" s="466">
        <f t="shared" si="6"/>
        <v>-63765.38014433143</v>
      </c>
      <c r="T31" s="440">
        <f t="shared" si="7"/>
        <v>4066023704.951097</v>
      </c>
      <c r="U31" s="466">
        <f t="shared" si="8"/>
        <v>80843.469415074898</v>
      </c>
      <c r="V31" s="467">
        <f t="shared" si="9"/>
        <v>15575.981188355861</v>
      </c>
      <c r="W31" s="467">
        <f t="shared" si="10"/>
        <v>419599.02673431707</v>
      </c>
      <c r="X31" s="468">
        <f t="shared" si="11"/>
        <v>3.7337537667968586</v>
      </c>
      <c r="Y31" s="468">
        <f t="shared" si="12"/>
        <v>3.7337537667968586</v>
      </c>
      <c r="Z31" s="441">
        <f t="shared" si="13"/>
        <v>10.155779660590518</v>
      </c>
      <c r="AA31" s="471">
        <f t="shared" si="14"/>
        <v>11.247624426899588</v>
      </c>
      <c r="AB31" s="441">
        <f t="shared" si="15"/>
        <v>9.7455515916903028</v>
      </c>
      <c r="AC31" s="802">
        <f t="shared" si="16"/>
        <v>84</v>
      </c>
      <c r="AD31" s="435">
        <f t="shared" si="17"/>
        <v>9.6008396785622594</v>
      </c>
      <c r="AE31" s="441">
        <f t="shared" si="18"/>
        <v>12.894409175236916</v>
      </c>
      <c r="AF31" s="440"/>
    </row>
    <row r="32" spans="1:32">
      <c r="A32" s="455">
        <v>1981</v>
      </c>
      <c r="B32" s="440">
        <f t="shared" si="0"/>
        <v>1985</v>
      </c>
      <c r="C32" s="458">
        <f>LN(VLOOKUP($A32,'Brd Link'!$A$12:$E$60,4))</f>
        <v>8.4721977115721039</v>
      </c>
      <c r="D32" s="458">
        <f>VLOOKUP($A32,'Brd Tbl'!$A$8:$AX$64,12)</f>
        <v>11.677699198282076</v>
      </c>
      <c r="E32" s="461">
        <v>48</v>
      </c>
      <c r="F32" s="461">
        <v>46</v>
      </c>
      <c r="G32" s="462">
        <v>5.5447796353301095</v>
      </c>
      <c r="H32" s="462">
        <v>0.55943858908723187</v>
      </c>
      <c r="I32" s="463">
        <v>0.11743064991365414</v>
      </c>
      <c r="J32" s="461">
        <v>10.284453969560083</v>
      </c>
      <c r="K32" s="461">
        <v>1.2338657668371402</v>
      </c>
      <c r="L32" s="461">
        <v>0.33037936170589544</v>
      </c>
      <c r="M32" s="462">
        <v>1.5628081620813659</v>
      </c>
      <c r="N32" s="458">
        <f t="shared" si="1"/>
        <v>1.3932452287219927</v>
      </c>
      <c r="O32" s="440">
        <f t="shared" si="2"/>
        <v>1.9411322673565978</v>
      </c>
      <c r="P32" s="465">
        <f t="shared" si="3"/>
        <v>10.284453969560083</v>
      </c>
      <c r="Q32" s="440">
        <f t="shared" si="4"/>
        <v>8.6376692212227546</v>
      </c>
      <c r="R32" s="440">
        <f t="shared" si="5"/>
        <v>11.931238717897411</v>
      </c>
      <c r="S32" s="466">
        <f t="shared" si="6"/>
        <v>88638.660167770606</v>
      </c>
      <c r="T32" s="440">
        <f t="shared" si="7"/>
        <v>7856812076.3375235</v>
      </c>
      <c r="U32" s="466">
        <f t="shared" si="8"/>
        <v>29273.968984687399</v>
      </c>
      <c r="V32" s="467">
        <f t="shared" si="9"/>
        <v>5640.1685072780765</v>
      </c>
      <c r="W32" s="467">
        <f t="shared" si="10"/>
        <v>151939.65552813027</v>
      </c>
      <c r="X32" s="468">
        <f t="shared" si="11"/>
        <v>-0.75173169154902908</v>
      </c>
      <c r="Y32" s="468">
        <f t="shared" si="12"/>
        <v>0.75173169154902908</v>
      </c>
      <c r="Z32" s="441">
        <f t="shared" si="13"/>
        <v>8.4721977115721039</v>
      </c>
      <c r="AA32" s="471">
        <f t="shared" si="14"/>
        <v>10.315594978859032</v>
      </c>
      <c r="AB32" s="441">
        <f t="shared" si="15"/>
        <v>11.677699198282076</v>
      </c>
      <c r="AC32" s="802">
        <f t="shared" si="16"/>
        <v>85</v>
      </c>
      <c r="AD32" s="435">
        <f t="shared" si="17"/>
        <v>8.6688102305217036</v>
      </c>
      <c r="AE32" s="441">
        <f t="shared" si="18"/>
        <v>11.96237972719636</v>
      </c>
      <c r="AF32" s="440"/>
    </row>
    <row r="33" spans="1:44">
      <c r="A33" s="455">
        <v>1982</v>
      </c>
      <c r="B33" s="440">
        <f t="shared" si="0"/>
        <v>1986</v>
      </c>
      <c r="C33" s="458">
        <f>LN(VLOOKUP($A33,'Brd Link'!$A$12:$E$60,4))</f>
        <v>10.345240318270431</v>
      </c>
      <c r="D33" s="458">
        <f>VLOOKUP($A33,'Brd Tbl'!$A$8:$AX$64,12)</f>
        <v>11.778844272462115</v>
      </c>
      <c r="E33" s="461">
        <v>48</v>
      </c>
      <c r="F33" s="461">
        <v>46</v>
      </c>
      <c r="G33" s="462">
        <v>5.6668209801655642</v>
      </c>
      <c r="H33" s="462">
        <v>0.54795051411541407</v>
      </c>
      <c r="I33" s="463">
        <v>0.11984017347612697</v>
      </c>
      <c r="J33" s="461">
        <v>11.335500731209358</v>
      </c>
      <c r="K33" s="461">
        <v>1.2488278862975706</v>
      </c>
      <c r="L33" s="461">
        <v>0.31247163907831627</v>
      </c>
      <c r="M33" s="462">
        <v>1.5991535531602423</v>
      </c>
      <c r="N33" s="458">
        <f t="shared" si="1"/>
        <v>0.44334354125275688</v>
      </c>
      <c r="O33" s="440">
        <f t="shared" si="2"/>
        <v>0.19655349557053495</v>
      </c>
      <c r="P33" s="465">
        <f t="shared" si="3"/>
        <v>11.335500731209358</v>
      </c>
      <c r="Q33" s="440">
        <f t="shared" si="4"/>
        <v>9.6887159828720293</v>
      </c>
      <c r="R33" s="440">
        <f t="shared" si="5"/>
        <v>12.982285479546686</v>
      </c>
      <c r="S33" s="466">
        <f t="shared" si="6"/>
        <v>46720.510155467025</v>
      </c>
      <c r="T33" s="440">
        <f t="shared" si="7"/>
        <v>2182806069.1870975</v>
      </c>
      <c r="U33" s="466">
        <f t="shared" si="8"/>
        <v>83742.402672085474</v>
      </c>
      <c r="V33" s="467">
        <f t="shared" si="9"/>
        <v>16134.513995077243</v>
      </c>
      <c r="W33" s="467">
        <f t="shared" si="10"/>
        <v>434645.25844617083</v>
      </c>
      <c r="X33" s="468">
        <f t="shared" si="11"/>
        <v>-0.35811334533993411</v>
      </c>
      <c r="Y33" s="468">
        <f t="shared" si="12"/>
        <v>0.35811334533993411</v>
      </c>
      <c r="Z33" s="441">
        <f t="shared" si="13"/>
        <v>10.345240318270431</v>
      </c>
      <c r="AA33" s="471">
        <f t="shared" si="14"/>
        <v>11.352509676058835</v>
      </c>
      <c r="AB33" s="441">
        <f t="shared" si="15"/>
        <v>11.778844272462115</v>
      </c>
      <c r="AC33" s="802">
        <f t="shared" si="16"/>
        <v>86</v>
      </c>
      <c r="AD33" s="435">
        <f t="shared" si="17"/>
        <v>9.705724927721505</v>
      </c>
      <c r="AE33" s="441">
        <f t="shared" si="18"/>
        <v>12.999294424396165</v>
      </c>
      <c r="AF33" s="440"/>
    </row>
    <row r="34" spans="1:44">
      <c r="A34" s="455">
        <v>1983</v>
      </c>
      <c r="B34" s="440">
        <f t="shared" si="0"/>
        <v>1987</v>
      </c>
      <c r="C34" s="458">
        <f>LN(VLOOKUP($A34,'Brd Link'!$A$12:$E$60,4))</f>
        <v>9.8478179976135216</v>
      </c>
      <c r="D34" s="458">
        <f>VLOOKUP($A34,'Brd Tbl'!$A$8:$AX$64,12)</f>
        <v>11.710656075118306</v>
      </c>
      <c r="E34" s="461">
        <v>48</v>
      </c>
      <c r="F34" s="461">
        <v>46</v>
      </c>
      <c r="G34" s="462">
        <v>5.6601050663931014</v>
      </c>
      <c r="H34" s="462">
        <v>0.54822618455196792</v>
      </c>
      <c r="I34" s="463">
        <v>0.11900887678008798</v>
      </c>
      <c r="J34" s="461">
        <v>11.058936753386963</v>
      </c>
      <c r="K34" s="461">
        <v>1.2468778946583496</v>
      </c>
      <c r="L34" s="461">
        <v>0.3156875458684697</v>
      </c>
      <c r="M34" s="462">
        <v>1.5943997077696708</v>
      </c>
      <c r="N34" s="458">
        <f t="shared" si="1"/>
        <v>0.65171932173134373</v>
      </c>
      <c r="O34" s="440">
        <f t="shared" si="2"/>
        <v>0.42473807431796273</v>
      </c>
      <c r="P34" s="465">
        <f t="shared" si="3"/>
        <v>11.058936753386963</v>
      </c>
      <c r="Q34" s="440">
        <f t="shared" si="4"/>
        <v>9.4121520050496343</v>
      </c>
      <c r="R34" s="440">
        <f t="shared" si="5"/>
        <v>12.705721501724291</v>
      </c>
      <c r="S34" s="466">
        <f t="shared" si="6"/>
        <v>58354.415958454985</v>
      </c>
      <c r="T34" s="440">
        <f t="shared" si="7"/>
        <v>3405237861.852386</v>
      </c>
      <c r="U34" s="466">
        <f t="shared" si="8"/>
        <v>63508.990236494566</v>
      </c>
      <c r="V34" s="467">
        <f t="shared" si="9"/>
        <v>12236.174973344927</v>
      </c>
      <c r="W34" s="467">
        <f t="shared" si="10"/>
        <v>329628.48681433813</v>
      </c>
      <c r="X34" s="468">
        <f t="shared" si="11"/>
        <v>-0.47885101672854274</v>
      </c>
      <c r="Y34" s="468">
        <f t="shared" si="12"/>
        <v>0.47885101672854274</v>
      </c>
      <c r="Z34" s="441">
        <f t="shared" si="13"/>
        <v>9.8478179976135216</v>
      </c>
      <c r="AA34" s="471">
        <f t="shared" si="14"/>
        <v>11.077137128120071</v>
      </c>
      <c r="AB34" s="441">
        <f t="shared" si="15"/>
        <v>11.710656075118306</v>
      </c>
      <c r="AC34" s="802">
        <f t="shared" si="16"/>
        <v>87</v>
      </c>
      <c r="AD34" s="435">
        <f t="shared" si="17"/>
        <v>9.4303523797827431</v>
      </c>
      <c r="AE34" s="441">
        <f t="shared" si="18"/>
        <v>12.7239218764574</v>
      </c>
      <c r="AF34" s="440"/>
    </row>
    <row r="35" spans="1:44">
      <c r="A35" s="455">
        <v>1984</v>
      </c>
      <c r="B35" s="440">
        <f t="shared" si="0"/>
        <v>1988</v>
      </c>
      <c r="C35" s="458">
        <f>LN(VLOOKUP($A35,'Brd Link'!$A$12:$E$60,4))</f>
        <v>9.6834574148761732</v>
      </c>
      <c r="D35" s="458">
        <f>VLOOKUP($A35,'Brd Tbl'!$A$8:$AX$64,12)</f>
        <v>11.469223264682705</v>
      </c>
      <c r="E35" s="461">
        <v>48</v>
      </c>
      <c r="F35" s="461">
        <v>46</v>
      </c>
      <c r="G35" s="462">
        <v>5.6452138510808503</v>
      </c>
      <c r="H35" s="462">
        <v>0.55024897675085682</v>
      </c>
      <c r="I35" s="463">
        <v>0.11900223961097765</v>
      </c>
      <c r="J35" s="461">
        <v>10.973526385026961</v>
      </c>
      <c r="K35" s="461">
        <v>1.248388731454396</v>
      </c>
      <c r="L35" s="461">
        <v>0.31730509592678907</v>
      </c>
      <c r="M35" s="462">
        <v>1.5981293468908693</v>
      </c>
      <c r="N35" s="458">
        <f t="shared" si="1"/>
        <v>0.49569687965574438</v>
      </c>
      <c r="O35" s="440">
        <f t="shared" si="2"/>
        <v>0.24571539650044152</v>
      </c>
      <c r="P35" s="465">
        <f t="shared" si="3"/>
        <v>10.973526385026961</v>
      </c>
      <c r="Q35" s="440">
        <f t="shared" si="4"/>
        <v>9.3267416366896327</v>
      </c>
      <c r="R35" s="440">
        <f t="shared" si="5"/>
        <v>12.620311133364289</v>
      </c>
      <c r="S35" s="466">
        <f t="shared" si="6"/>
        <v>37414.043779964602</v>
      </c>
      <c r="T35" s="440">
        <f t="shared" si="7"/>
        <v>1399810671.9691079</v>
      </c>
      <c r="U35" s="466">
        <f t="shared" si="8"/>
        <v>58309.85427245748</v>
      </c>
      <c r="V35" s="467">
        <f t="shared" si="9"/>
        <v>11234.465811708607</v>
      </c>
      <c r="W35" s="467">
        <f t="shared" si="10"/>
        <v>302643.59358606022</v>
      </c>
      <c r="X35" s="468">
        <f t="shared" si="11"/>
        <v>-0.3908537422857063</v>
      </c>
      <c r="Y35" s="468">
        <f t="shared" si="12"/>
        <v>0.3908537422857063</v>
      </c>
      <c r="Z35" s="441">
        <f t="shared" si="13"/>
        <v>9.6834574148761732</v>
      </c>
      <c r="AA35" s="471">
        <f t="shared" si="14"/>
        <v>10.986147257803612</v>
      </c>
      <c r="AB35" s="441">
        <f t="shared" si="15"/>
        <v>11.469223264682705</v>
      </c>
      <c r="AC35" s="802">
        <f t="shared" si="16"/>
        <v>88</v>
      </c>
      <c r="AD35" s="435">
        <f t="shared" si="17"/>
        <v>9.3393625094662838</v>
      </c>
      <c r="AE35" s="441">
        <f t="shared" si="18"/>
        <v>12.63293200614094</v>
      </c>
      <c r="AF35" s="440"/>
    </row>
    <row r="36" spans="1:44">
      <c r="A36" s="455">
        <v>1985</v>
      </c>
      <c r="B36" s="440">
        <f t="shared" si="0"/>
        <v>1989</v>
      </c>
      <c r="C36" s="458">
        <f>LN(VLOOKUP($A36,'Brd Link'!$A$12:$E$60,4))</f>
        <v>10.513712327196895</v>
      </c>
      <c r="D36" s="458">
        <f>VLOOKUP($A36,'Brd Tbl'!$A$8:$AX$64,12)</f>
        <v>10.947528823911643</v>
      </c>
      <c r="E36" s="461">
        <v>48</v>
      </c>
      <c r="F36" s="461">
        <v>46</v>
      </c>
      <c r="G36" s="462">
        <v>5.5696643909997183</v>
      </c>
      <c r="H36" s="462">
        <v>0.56102468049336118</v>
      </c>
      <c r="I36" s="463">
        <v>0.12006573979754437</v>
      </c>
      <c r="J36" s="461">
        <v>11.468116490164469</v>
      </c>
      <c r="K36" s="461">
        <v>1.2482152621452589</v>
      </c>
      <c r="L36" s="461">
        <v>0.32187017983892507</v>
      </c>
      <c r="M36" s="462">
        <v>1.597602344354325</v>
      </c>
      <c r="N36" s="458">
        <f t="shared" si="1"/>
        <v>-0.52058766625282615</v>
      </c>
      <c r="O36" s="440">
        <f t="shared" si="2"/>
        <v>0.27101151825456393</v>
      </c>
      <c r="P36" s="465">
        <f t="shared" si="3"/>
        <v>11.468116490164469</v>
      </c>
      <c r="Q36" s="440">
        <f t="shared" si="4"/>
        <v>9.8213317418271409</v>
      </c>
      <c r="R36" s="440">
        <f t="shared" si="5"/>
        <v>13.114901238501798</v>
      </c>
      <c r="S36" s="466">
        <f t="shared" si="6"/>
        <v>-38804.536239159926</v>
      </c>
      <c r="T36" s="440">
        <f t="shared" si="7"/>
        <v>1505792032.7362759</v>
      </c>
      <c r="U36" s="466">
        <f t="shared" si="8"/>
        <v>95618.011888134424</v>
      </c>
      <c r="V36" s="467">
        <f t="shared" si="9"/>
        <v>18422.568516831248</v>
      </c>
      <c r="W36" s="467">
        <f t="shared" si="10"/>
        <v>496282.8168659737</v>
      </c>
      <c r="X36" s="468">
        <f t="shared" si="11"/>
        <v>0.68301641108732913</v>
      </c>
      <c r="Y36" s="468">
        <f t="shared" si="12"/>
        <v>0.68301641108732913</v>
      </c>
      <c r="Z36" s="441">
        <f t="shared" si="13"/>
        <v>10.513712327196895</v>
      </c>
      <c r="AA36" s="471">
        <f t="shared" si="14"/>
        <v>11.445775628204238</v>
      </c>
      <c r="AB36" s="441">
        <f t="shared" si="15"/>
        <v>10.947528823911643</v>
      </c>
      <c r="AC36" s="802">
        <f t="shared" si="16"/>
        <v>89</v>
      </c>
      <c r="AD36" s="435">
        <f t="shared" si="17"/>
        <v>9.7989908798669099</v>
      </c>
      <c r="AE36" s="441">
        <f t="shared" si="18"/>
        <v>13.092560376541567</v>
      </c>
      <c r="AF36" s="440"/>
    </row>
    <row r="37" spans="1:44">
      <c r="A37" s="455">
        <v>1986</v>
      </c>
      <c r="B37" s="440">
        <f t="shared" si="0"/>
        <v>1990</v>
      </c>
      <c r="C37" s="458">
        <f>LN(VLOOKUP($A37,'Brd Link'!$A$12:$E$60,4))</f>
        <v>9.0379152018843385</v>
      </c>
      <c r="D37" s="458">
        <f>VLOOKUP($A37,'Brd Tbl'!$A$8:$AX$64,12)</f>
        <v>12.368367898989618</v>
      </c>
      <c r="E37" s="461">
        <v>48</v>
      </c>
      <c r="F37" s="461">
        <v>46</v>
      </c>
      <c r="G37" s="462">
        <v>5.60379318390485</v>
      </c>
      <c r="H37" s="462">
        <v>0.55196028097876049</v>
      </c>
      <c r="I37" s="463">
        <v>0.11631721449298761</v>
      </c>
      <c r="J37" s="461">
        <v>10.59236339819914</v>
      </c>
      <c r="K37" s="461">
        <v>1.223321913487009</v>
      </c>
      <c r="L37" s="461">
        <v>0.32864247714473604</v>
      </c>
      <c r="M37" s="462">
        <v>1.5375360845923778</v>
      </c>
      <c r="N37" s="458">
        <f t="shared" si="1"/>
        <v>1.7760045007904779</v>
      </c>
      <c r="O37" s="440">
        <f t="shared" si="2"/>
        <v>3.1541919868280344</v>
      </c>
      <c r="P37" s="465">
        <f t="shared" si="3"/>
        <v>10.59236339819914</v>
      </c>
      <c r="Q37" s="440">
        <f t="shared" si="4"/>
        <v>8.9455786498618117</v>
      </c>
      <c r="R37" s="440">
        <f t="shared" si="5"/>
        <v>12.239148146536468</v>
      </c>
      <c r="S37" s="466">
        <f t="shared" si="6"/>
        <v>195411.98290534251</v>
      </c>
      <c r="T37" s="440">
        <f t="shared" si="7"/>
        <v>38185843062.997871</v>
      </c>
      <c r="U37" s="466">
        <f t="shared" si="8"/>
        <v>39829.51097119617</v>
      </c>
      <c r="V37" s="467">
        <f t="shared" si="9"/>
        <v>7673.8877996876499</v>
      </c>
      <c r="W37" s="467">
        <f t="shared" si="10"/>
        <v>206725.7152585951</v>
      </c>
      <c r="X37" s="468">
        <f t="shared" si="11"/>
        <v>-0.83068671128189731</v>
      </c>
      <c r="Y37" s="468">
        <f t="shared" si="12"/>
        <v>0.83068671128189731</v>
      </c>
      <c r="Z37" s="441">
        <f t="shared" si="13"/>
        <v>9.0379152018843385</v>
      </c>
      <c r="AA37" s="471">
        <f t="shared" si="14"/>
        <v>10.628775671102741</v>
      </c>
      <c r="AB37" s="441">
        <f t="shared" si="15"/>
        <v>12.368367898989618</v>
      </c>
      <c r="AC37" s="802">
        <f t="shared" si="16"/>
        <v>90</v>
      </c>
      <c r="AD37" s="435">
        <f t="shared" si="17"/>
        <v>8.9819909227654122</v>
      </c>
      <c r="AE37" s="441">
        <f t="shared" si="18"/>
        <v>12.275560419440069</v>
      </c>
      <c r="AF37" s="440"/>
    </row>
    <row r="38" spans="1:44">
      <c r="A38" s="455">
        <v>1987</v>
      </c>
      <c r="B38" s="440">
        <f t="shared" si="0"/>
        <v>1991</v>
      </c>
      <c r="C38" s="458">
        <f>LN(VLOOKUP($A38,'Brd Link'!$A$12:$E$60,4))</f>
        <v>11.274736584128879</v>
      </c>
      <c r="D38" s="458">
        <f>VLOOKUP($A38,'Brd Tbl'!$A$8:$AX$64,12)</f>
        <v>11.980728768239114</v>
      </c>
      <c r="E38" s="461">
        <v>48</v>
      </c>
      <c r="F38" s="461">
        <v>46</v>
      </c>
      <c r="G38" s="462">
        <v>5.6459856629958756</v>
      </c>
      <c r="H38" s="462">
        <v>0.55101564696531369</v>
      </c>
      <c r="I38" s="463">
        <v>0.12200086692866259</v>
      </c>
      <c r="J38" s="461">
        <v>11.858541936263141</v>
      </c>
      <c r="K38" s="461">
        <v>1.25035122178873</v>
      </c>
      <c r="L38" s="461">
        <v>0.30721512599315853</v>
      </c>
      <c r="M38" s="462">
        <v>1.6029373838615386</v>
      </c>
      <c r="N38" s="458">
        <f t="shared" si="1"/>
        <v>0.12218683197597358</v>
      </c>
      <c r="O38" s="440">
        <f t="shared" si="2"/>
        <v>1.4929621908324798E-2</v>
      </c>
      <c r="P38" s="465">
        <f t="shared" si="3"/>
        <v>11.858541936263141</v>
      </c>
      <c r="Q38" s="440">
        <f t="shared" si="4"/>
        <v>10.211757187925812</v>
      </c>
      <c r="R38" s="440">
        <f t="shared" si="5"/>
        <v>13.505326684600469</v>
      </c>
      <c r="S38" s="466">
        <f t="shared" si="6"/>
        <v>18362.270946713455</v>
      </c>
      <c r="T38" s="440">
        <f t="shared" si="7"/>
        <v>337172994.32051706</v>
      </c>
      <c r="U38" s="466">
        <f t="shared" si="8"/>
        <v>141286.06392782621</v>
      </c>
      <c r="V38" s="467">
        <f t="shared" si="9"/>
        <v>27221.358630933588</v>
      </c>
      <c r="W38" s="467">
        <f t="shared" si="10"/>
        <v>733312.10726322164</v>
      </c>
      <c r="X38" s="468">
        <f t="shared" si="11"/>
        <v>-0.11501699006847473</v>
      </c>
      <c r="Y38" s="468">
        <f t="shared" si="12"/>
        <v>0.11501699006847473</v>
      </c>
      <c r="Z38" s="441">
        <f t="shared" si="13"/>
        <v>11.274736584128879</v>
      </c>
      <c r="AA38" s="471">
        <f t="shared" si="14"/>
        <v>11.867077970241901</v>
      </c>
      <c r="AB38" s="441">
        <f t="shared" si="15"/>
        <v>11.980728768239114</v>
      </c>
      <c r="AC38" s="802">
        <f t="shared" si="16"/>
        <v>91</v>
      </c>
      <c r="AD38" s="435">
        <f t="shared" si="17"/>
        <v>10.220293221904573</v>
      </c>
      <c r="AE38" s="441">
        <f t="shared" si="18"/>
        <v>13.513862718579229</v>
      </c>
      <c r="AF38" s="440"/>
    </row>
    <row r="39" spans="1:44">
      <c r="A39" s="455">
        <v>1988</v>
      </c>
      <c r="B39" s="440">
        <f t="shared" si="0"/>
        <v>1992</v>
      </c>
      <c r="C39" s="458">
        <f>LN(VLOOKUP($A39,'Brd Link'!$A$12:$E$60,4))</f>
        <v>9.8249464850406518</v>
      </c>
      <c r="D39" s="458">
        <f>VLOOKUP($A39,'Brd Tbl'!$A$8:$AX$64,12)</f>
        <v>11.393794873387254</v>
      </c>
      <c r="E39" s="461">
        <v>48</v>
      </c>
      <c r="F39" s="461">
        <v>46</v>
      </c>
      <c r="G39" s="462">
        <v>5.6428051057865165</v>
      </c>
      <c r="H39" s="462">
        <v>0.55087720755049541</v>
      </c>
      <c r="I39" s="463">
        <v>0.11923651340658005</v>
      </c>
      <c r="J39" s="461">
        <v>11.055144189798767</v>
      </c>
      <c r="K39" s="461">
        <v>1.2495021493203018</v>
      </c>
      <c r="L39" s="461">
        <v>0.31694749705284964</v>
      </c>
      <c r="M39" s="462">
        <v>1.600859161703484</v>
      </c>
      <c r="N39" s="458">
        <f t="shared" si="1"/>
        <v>0.3386506835884866</v>
      </c>
      <c r="O39" s="440">
        <f t="shared" si="2"/>
        <v>0.11468428549494927</v>
      </c>
      <c r="P39" s="465">
        <f t="shared" si="3"/>
        <v>11.055144189798767</v>
      </c>
      <c r="Q39" s="440">
        <f t="shared" si="4"/>
        <v>9.4083594414614389</v>
      </c>
      <c r="R39" s="440">
        <f t="shared" si="5"/>
        <v>12.701928938136096</v>
      </c>
      <c r="S39" s="466">
        <f t="shared" si="6"/>
        <v>25500.602292849821</v>
      </c>
      <c r="T39" s="440">
        <f t="shared" si="7"/>
        <v>650280717.29809749</v>
      </c>
      <c r="U39" s="466">
        <f t="shared" si="8"/>
        <v>63268.58451774525</v>
      </c>
      <c r="V39" s="467">
        <f t="shared" si="9"/>
        <v>12189.856390286759</v>
      </c>
      <c r="W39" s="467">
        <f t="shared" si="10"/>
        <v>328380.71743558149</v>
      </c>
      <c r="X39" s="468">
        <f t="shared" si="11"/>
        <v>-0.28726862562411343</v>
      </c>
      <c r="Y39" s="468">
        <f t="shared" si="12"/>
        <v>0.28726862562411343</v>
      </c>
      <c r="Z39" s="441">
        <f t="shared" si="13"/>
        <v>9.8249464850406518</v>
      </c>
      <c r="AA39" s="471">
        <f t="shared" si="14"/>
        <v>11.064475479394524</v>
      </c>
      <c r="AB39" s="441">
        <f t="shared" si="15"/>
        <v>11.393794873387254</v>
      </c>
      <c r="AC39" s="802">
        <f t="shared" si="16"/>
        <v>92</v>
      </c>
      <c r="AD39" s="435">
        <f t="shared" si="17"/>
        <v>9.4176907310571956</v>
      </c>
      <c r="AE39" s="441">
        <f t="shared" si="18"/>
        <v>12.711260227731852</v>
      </c>
      <c r="AF39" s="440"/>
    </row>
    <row r="40" spans="1:44">
      <c r="A40" s="455">
        <v>1989</v>
      </c>
      <c r="B40" s="440">
        <f t="shared" si="0"/>
        <v>1993</v>
      </c>
      <c r="C40" s="458">
        <f>LN(VLOOKUP($A40,'Brd Link'!$A$12:$E$60,4))</f>
        <v>10.15702482649354</v>
      </c>
      <c r="D40" s="458">
        <f>VLOOKUP($A40,'Brd Tbl'!$A$8:$AX$64,12)</f>
        <v>12.390944748030137</v>
      </c>
      <c r="E40" s="461">
        <v>48</v>
      </c>
      <c r="F40" s="461">
        <v>46</v>
      </c>
      <c r="G40" s="462">
        <v>5.7179273933727277</v>
      </c>
      <c r="H40" s="462">
        <v>0.54054264034913535</v>
      </c>
      <c r="I40" s="463">
        <v>0.11858967655345751</v>
      </c>
      <c r="J40" s="461">
        <v>11.208232411177264</v>
      </c>
      <c r="K40" s="461">
        <v>1.2386693336415404</v>
      </c>
      <c r="L40" s="461">
        <v>0.31113182569111497</v>
      </c>
      <c r="M40" s="462">
        <v>1.5741065744899621</v>
      </c>
      <c r="N40" s="458">
        <f t="shared" si="1"/>
        <v>1.1827123368528731</v>
      </c>
      <c r="O40" s="440">
        <f t="shared" si="2"/>
        <v>1.3988084717439841</v>
      </c>
      <c r="P40" s="465">
        <f t="shared" si="3"/>
        <v>11.208232411177264</v>
      </c>
      <c r="Q40" s="440">
        <f t="shared" si="4"/>
        <v>9.5614476628399352</v>
      </c>
      <c r="R40" s="440">
        <f t="shared" si="5"/>
        <v>12.855017159514592</v>
      </c>
      <c r="S40" s="466">
        <f t="shared" si="6"/>
        <v>166877.94563320756</v>
      </c>
      <c r="T40" s="440">
        <f t="shared" si="7"/>
        <v>27848248738.759781</v>
      </c>
      <c r="U40" s="466">
        <f t="shared" si="8"/>
        <v>73734.966634346565</v>
      </c>
      <c r="V40" s="467">
        <f t="shared" si="9"/>
        <v>14206.397394004829</v>
      </c>
      <c r="W40" s="467">
        <f t="shared" si="10"/>
        <v>382704.01381722413</v>
      </c>
      <c r="X40" s="468">
        <f t="shared" si="11"/>
        <v>-0.69355357557720942</v>
      </c>
      <c r="Y40" s="468">
        <f t="shared" si="12"/>
        <v>0.69355357557720942</v>
      </c>
      <c r="Z40" s="441">
        <f t="shared" si="13"/>
        <v>10.15702482649354</v>
      </c>
      <c r="AA40" s="471">
        <f t="shared" si="14"/>
        <v>11.248313749620104</v>
      </c>
      <c r="AB40" s="441">
        <f t="shared" si="15"/>
        <v>12.390944748030137</v>
      </c>
      <c r="AC40" s="802">
        <f t="shared" si="16"/>
        <v>93</v>
      </c>
      <c r="AD40" s="435">
        <f t="shared" si="17"/>
        <v>9.6015290012827741</v>
      </c>
      <c r="AE40" s="441">
        <f t="shared" si="18"/>
        <v>12.895098497957434</v>
      </c>
      <c r="AF40" s="440"/>
    </row>
    <row r="41" spans="1:44">
      <c r="A41" s="455">
        <v>1990</v>
      </c>
      <c r="B41" s="440">
        <f t="shared" si="0"/>
        <v>1994</v>
      </c>
      <c r="C41" s="458">
        <f>LN(VLOOKUP($A41,'Brd Link'!$A$12:$E$60,4))</f>
        <v>10.940255662011179</v>
      </c>
      <c r="D41" s="458">
        <f>VLOOKUP($A41,'Brd Tbl'!$A$8:$AX$64,12)</f>
        <v>12.077595776693562</v>
      </c>
      <c r="E41" s="461">
        <v>48</v>
      </c>
      <c r="F41" s="461">
        <v>46</v>
      </c>
      <c r="G41" s="462">
        <v>5.6847537338998313</v>
      </c>
      <c r="H41" s="462">
        <v>0.54599817469052991</v>
      </c>
      <c r="I41" s="463">
        <v>0.12102042711290367</v>
      </c>
      <c r="J41" s="461">
        <v>11.65811335600567</v>
      </c>
      <c r="K41" s="461">
        <v>1.2490283130245972</v>
      </c>
      <c r="L41" s="461">
        <v>0.30675611785816276</v>
      </c>
      <c r="M41" s="462">
        <v>1.5995824697082499</v>
      </c>
      <c r="N41" s="458">
        <f t="shared" si="1"/>
        <v>0.41948242068789199</v>
      </c>
      <c r="O41" s="440">
        <f t="shared" si="2"/>
        <v>0.17596550126617358</v>
      </c>
      <c r="P41" s="465">
        <f t="shared" si="3"/>
        <v>11.65811335600567</v>
      </c>
      <c r="Q41" s="440">
        <f t="shared" ref="Q41:Q61" si="19">$P41-(SQRT($O$65)*$Q$65)</f>
        <v>10.011328607668339</v>
      </c>
      <c r="R41" s="440">
        <f t="shared" si="5"/>
        <v>13.304898104343</v>
      </c>
      <c r="S41" s="466">
        <f t="shared" ref="S41:S60" si="20">EXP(D41)*C41-U41</f>
        <v>1808620.6706267511</v>
      </c>
      <c r="T41" s="440">
        <f t="shared" si="7"/>
        <v>3271108730218.3589</v>
      </c>
      <c r="U41" s="466">
        <f t="shared" si="8"/>
        <v>115625.68001470246</v>
      </c>
      <c r="V41" s="467">
        <f t="shared" si="9"/>
        <v>22277.413745729558</v>
      </c>
      <c r="W41" s="467">
        <f t="shared" si="10"/>
        <v>600127.91572025162</v>
      </c>
      <c r="X41" s="468">
        <f t="shared" si="11"/>
        <v>-0.34261301832114266</v>
      </c>
      <c r="Y41" s="468">
        <f t="shared" si="12"/>
        <v>0.34261301832114266</v>
      </c>
      <c r="Z41" s="441">
        <f t="shared" si="13"/>
        <v>10.940255662011179</v>
      </c>
      <c r="AA41" s="471">
        <f t="shared" si="14"/>
        <v>11.681909633527898</v>
      </c>
      <c r="AB41" s="441">
        <f t="shared" si="15"/>
        <v>12.077595776693562</v>
      </c>
      <c r="AC41" s="802">
        <f t="shared" si="16"/>
        <v>94</v>
      </c>
      <c r="AD41" s="435">
        <f t="shared" si="17"/>
        <v>10.035124885190569</v>
      </c>
      <c r="AE41" s="441">
        <f t="shared" si="18"/>
        <v>13.328694381865226</v>
      </c>
      <c r="AF41" s="440"/>
      <c r="AQ41" s="54"/>
    </row>
    <row r="42" spans="1:44">
      <c r="A42" s="455">
        <v>1991</v>
      </c>
      <c r="B42" s="440">
        <f t="shared" si="0"/>
        <v>1995</v>
      </c>
      <c r="C42" s="458">
        <f>LN(VLOOKUP($A42,'Brd Link'!$A$12:$E$60,4))</f>
        <v>10.970081997673907</v>
      </c>
      <c r="D42" s="458">
        <f>VLOOKUP($A42,'Brd Tbl'!$A$8:$AX$64,12)</f>
        <v>11.444517861693397</v>
      </c>
      <c r="E42" s="461">
        <v>48</v>
      </c>
      <c r="F42" s="461">
        <v>46</v>
      </c>
      <c r="G42" s="462">
        <v>5.5866107329355206</v>
      </c>
      <c r="H42" s="462">
        <v>0.55855475023347279</v>
      </c>
      <c r="I42" s="463">
        <v>0.12117262362279728</v>
      </c>
      <c r="J42" s="461">
        <v>11.714002143186985</v>
      </c>
      <c r="K42" s="461">
        <v>1.2498770355230837</v>
      </c>
      <c r="L42" s="461">
        <v>0.31596698619126312</v>
      </c>
      <c r="M42" s="462">
        <v>1.601735463943543</v>
      </c>
      <c r="N42" s="458">
        <f t="shared" si="1"/>
        <v>-0.26948428149358783</v>
      </c>
      <c r="O42" s="440">
        <f t="shared" si="2"/>
        <v>7.262177797211529E-2</v>
      </c>
      <c r="P42" s="465">
        <f t="shared" si="3"/>
        <v>11.714002143186985</v>
      </c>
      <c r="Q42" s="440">
        <f t="shared" si="19"/>
        <v>10.067217394849656</v>
      </c>
      <c r="R42" s="440">
        <f t="shared" si="5"/>
        <v>13.360786891524313</v>
      </c>
      <c r="S42" s="466">
        <f t="shared" si="20"/>
        <v>902201.88385552831</v>
      </c>
      <c r="T42" s="440">
        <f t="shared" si="7"/>
        <v>813968239232.46423</v>
      </c>
      <c r="U42" s="466">
        <f t="shared" si="8"/>
        <v>122271.85241049256</v>
      </c>
      <c r="V42" s="467">
        <f t="shared" si="9"/>
        <v>23557.921088628133</v>
      </c>
      <c r="W42" s="467">
        <f t="shared" si="10"/>
        <v>634623.31143940066</v>
      </c>
      <c r="X42" s="468">
        <f t="shared" si="11"/>
        <v>0.30928905199604562</v>
      </c>
      <c r="Y42" s="468">
        <f t="shared" si="12"/>
        <v>0.30928905199604562</v>
      </c>
      <c r="Z42" s="441">
        <f t="shared" si="13"/>
        <v>10.970081997673907</v>
      </c>
      <c r="AA42" s="471">
        <f t="shared" si="14"/>
        <v>11.698421466041317</v>
      </c>
      <c r="AB42" s="441">
        <f t="shared" si="15"/>
        <v>11.444517861693397</v>
      </c>
      <c r="AC42" s="802">
        <f t="shared" si="16"/>
        <v>95</v>
      </c>
      <c r="AD42" s="435">
        <f t="shared" si="17"/>
        <v>10.051636717703989</v>
      </c>
      <c r="AE42" s="441">
        <f t="shared" si="18"/>
        <v>13.345206214378646</v>
      </c>
      <c r="AF42" s="440"/>
      <c r="AQ42" s="54"/>
    </row>
    <row r="43" spans="1:44">
      <c r="A43" s="455">
        <v>1992</v>
      </c>
      <c r="B43" s="440">
        <f t="shared" si="0"/>
        <v>1996</v>
      </c>
      <c r="C43" s="458">
        <f>LN(VLOOKUP($A43,'Brd Link'!$A$12:$E$60,4))</f>
        <v>10.39143784195393</v>
      </c>
      <c r="D43" s="458">
        <f>VLOOKUP($A43,'Brd Tbl'!$A$8:$AX$64,12)</f>
        <v>11.63141771270136</v>
      </c>
      <c r="E43" s="461">
        <v>48</v>
      </c>
      <c r="F43" s="461">
        <v>46</v>
      </c>
      <c r="G43" s="462">
        <v>5.6510253936190562</v>
      </c>
      <c r="H43" s="462">
        <v>0.55012830483678565</v>
      </c>
      <c r="I43" s="463">
        <v>0.12001687583327494</v>
      </c>
      <c r="J43" s="461">
        <v>11.367649478429998</v>
      </c>
      <c r="K43" s="461">
        <v>1.2498909654958832</v>
      </c>
      <c r="L43" s="461">
        <v>0.31354386391693134</v>
      </c>
      <c r="M43" s="462">
        <v>1.6017989659552405</v>
      </c>
      <c r="N43" s="458">
        <f t="shared" si="1"/>
        <v>0.26376823427136209</v>
      </c>
      <c r="O43" s="440">
        <f t="shared" si="2"/>
        <v>6.9573681410632152E-2</v>
      </c>
      <c r="P43" s="465">
        <f t="shared" si="3"/>
        <v>11.367649478429998</v>
      </c>
      <c r="Q43" s="440">
        <f t="shared" si="19"/>
        <v>9.7208647300926678</v>
      </c>
      <c r="R43" s="440">
        <f t="shared" si="5"/>
        <v>13.014434226767328</v>
      </c>
      <c r="S43" s="466">
        <f t="shared" si="20"/>
        <v>1083387.7871213076</v>
      </c>
      <c r="T43" s="440">
        <f t="shared" si="7"/>
        <v>1173729097283.6038</v>
      </c>
      <c r="U43" s="466">
        <f t="shared" si="8"/>
        <v>86478.35915415686</v>
      </c>
      <c r="V43" s="467">
        <f t="shared" si="9"/>
        <v>16661.646328773888</v>
      </c>
      <c r="W43" s="467">
        <f t="shared" si="10"/>
        <v>448845.59751339298</v>
      </c>
      <c r="X43" s="468">
        <f t="shared" si="11"/>
        <v>-0.23184844976872224</v>
      </c>
      <c r="Y43" s="468">
        <f t="shared" si="12"/>
        <v>0.23184844976872224</v>
      </c>
      <c r="Z43" s="441">
        <f t="shared" si="13"/>
        <v>10.39143784195393</v>
      </c>
      <c r="AA43" s="471">
        <f t="shared" si="14"/>
        <v>11.378084583490384</v>
      </c>
      <c r="AB43" s="441">
        <f t="shared" si="15"/>
        <v>11.63141771270136</v>
      </c>
      <c r="AC43" s="802">
        <f t="shared" si="16"/>
        <v>96</v>
      </c>
      <c r="AD43" s="435">
        <f t="shared" si="17"/>
        <v>9.731299835153056</v>
      </c>
      <c r="AE43" s="441">
        <f t="shared" si="18"/>
        <v>13.024869331827713</v>
      </c>
      <c r="AF43" s="440"/>
      <c r="AR43" s="11"/>
    </row>
    <row r="44" spans="1:44" ht="18">
      <c r="A44" s="455">
        <v>1993</v>
      </c>
      <c r="B44" s="440">
        <f t="shared" si="0"/>
        <v>1997</v>
      </c>
      <c r="C44" s="458">
        <f>LN(VLOOKUP($A44,'Brd Link'!$A$12:$E$60,4))</f>
        <v>9.7087147148805393</v>
      </c>
      <c r="D44" s="458">
        <f>VLOOKUP($A44,'Brd Tbl'!$A$8:$AX$64,12)</f>
        <v>13.595628383617642</v>
      </c>
      <c r="E44" s="461">
        <v>48</v>
      </c>
      <c r="F44" s="461">
        <v>46</v>
      </c>
      <c r="G44" s="462">
        <v>5.7373571223680342</v>
      </c>
      <c r="H44" s="462">
        <v>0.53498464514499555</v>
      </c>
      <c r="I44" s="463">
        <v>0.11334643772544163</v>
      </c>
      <c r="J44" s="461">
        <v>10.931370418922397</v>
      </c>
      <c r="K44" s="461">
        <v>1.188844933645794</v>
      </c>
      <c r="L44" s="461">
        <v>0.32627900697005618</v>
      </c>
      <c r="M44" s="462">
        <v>1.4553677821837525</v>
      </c>
      <c r="N44" s="458">
        <f t="shared" si="1"/>
        <v>2.6642579646952456</v>
      </c>
      <c r="O44" s="440">
        <f t="shared" si="2"/>
        <v>7.0982705024420527</v>
      </c>
      <c r="P44" s="465">
        <f t="shared" si="3"/>
        <v>10.931370418922397</v>
      </c>
      <c r="Q44" s="440">
        <f t="shared" si="19"/>
        <v>9.2845856705850665</v>
      </c>
      <c r="R44" s="440">
        <f t="shared" si="5"/>
        <v>12.578155167259727</v>
      </c>
      <c r="S44" s="466">
        <f t="shared" si="20"/>
        <v>7736441.3091552537</v>
      </c>
      <c r="T44" s="440">
        <f t="shared" si="7"/>
        <v>59852524130003.859</v>
      </c>
      <c r="U44" s="466">
        <f t="shared" si="8"/>
        <v>55902.837543673551</v>
      </c>
      <c r="V44" s="467">
        <f t="shared" si="9"/>
        <v>10770.709771067843</v>
      </c>
      <c r="W44" s="467">
        <f t="shared" si="10"/>
        <v>290150.53899502876</v>
      </c>
      <c r="X44" s="468">
        <f t="shared" si="11"/>
        <v>-0.93034898212320838</v>
      </c>
      <c r="Y44" s="468">
        <f t="shared" si="12"/>
        <v>0.93034898212320838</v>
      </c>
      <c r="Z44" s="441">
        <f t="shared" si="13"/>
        <v>9.7087147148805393</v>
      </c>
      <c r="AA44" s="471">
        <f t="shared" si="14"/>
        <v>11.000129676298769</v>
      </c>
      <c r="AB44" s="441">
        <f t="shared" si="15"/>
        <v>13.595628383617642</v>
      </c>
      <c r="AC44" s="802">
        <f t="shared" si="16"/>
        <v>97</v>
      </c>
      <c r="AD44" s="435">
        <f t="shared" si="17"/>
        <v>9.3533449279614409</v>
      </c>
      <c r="AE44" s="441">
        <f t="shared" si="18"/>
        <v>12.646914424636098</v>
      </c>
      <c r="AF44" s="440"/>
      <c r="AH44" s="54" t="s">
        <v>317</v>
      </c>
      <c r="AI44" s="440">
        <f>ROUND(L63,5)</f>
        <v>0.32034000000000001</v>
      </c>
      <c r="AR44" s="11"/>
    </row>
    <row r="45" spans="1:44">
      <c r="A45" s="455">
        <v>1994</v>
      </c>
      <c r="B45" s="440">
        <f t="shared" ref="B45:B61" si="21">A45+$H$4</f>
        <v>1998</v>
      </c>
      <c r="C45" s="458">
        <f>LN(VLOOKUP($A45,'Brd Link'!$A$12:$E$60,4))</f>
        <v>11.904776138540297</v>
      </c>
      <c r="D45" s="458">
        <f>VLOOKUP($A45,'Brd Tbl'!$A$8:$AX$64,12)</f>
        <v>11.632204798551918</v>
      </c>
      <c r="E45" s="461">
        <v>48</v>
      </c>
      <c r="F45" s="461">
        <v>46</v>
      </c>
      <c r="G45" s="462">
        <v>5.4830823235320123</v>
      </c>
      <c r="H45" s="462">
        <v>0.57100629979224538</v>
      </c>
      <c r="I45" s="463">
        <v>0.12371826980193665</v>
      </c>
      <c r="J45" s="461">
        <v>12.280784496254924</v>
      </c>
      <c r="K45" s="461">
        <v>1.2471770834384135</v>
      </c>
      <c r="L45" s="461">
        <v>0.31651050869924829</v>
      </c>
      <c r="M45" s="462">
        <v>1.5944847588122844</v>
      </c>
      <c r="N45" s="458">
        <f t="shared" ref="N45:N61" si="22">D45-J45</f>
        <v>-0.64857969770300627</v>
      </c>
      <c r="O45" s="440">
        <f t="shared" ref="O45:O61" si="23">N45^2</f>
        <v>0.42065562427252301</v>
      </c>
      <c r="P45" s="465">
        <f t="shared" si="3"/>
        <v>12.280784496254924</v>
      </c>
      <c r="Q45" s="440">
        <f t="shared" si="19"/>
        <v>10.633999747917596</v>
      </c>
      <c r="R45" s="440">
        <f t="shared" ref="R45:R61" si="24">$P45+SQRT($O$65)*$Q$65</f>
        <v>13.927569244592252</v>
      </c>
      <c r="S45" s="466">
        <f t="shared" si="20"/>
        <v>1125778.0676173796</v>
      </c>
      <c r="T45" s="440">
        <f t="shared" ref="T45:T61" si="25">S45^2</f>
        <v>1267376257528.3213</v>
      </c>
      <c r="U45" s="466">
        <f t="shared" ref="U45:U61" si="26">EXP(P45)</f>
        <v>215514.72081836325</v>
      </c>
      <c r="V45" s="467">
        <f t="shared" ref="V45:V61" si="27">EXP(Q45)</f>
        <v>41522.874532332207</v>
      </c>
      <c r="W45" s="467">
        <f t="shared" ref="W45:W61" si="28">EXP(R45)</f>
        <v>1118578.5043193707</v>
      </c>
      <c r="X45" s="468">
        <f t="shared" ref="X45:X61" si="29">(+U45-EXP(D45))/(EXP(D45))</f>
        <v>0.9128221131306985</v>
      </c>
      <c r="Y45" s="468">
        <f t="shared" ref="Y45:Y61" si="30">ABS(X45)</f>
        <v>0.9128221131306985</v>
      </c>
      <c r="Z45" s="441">
        <f t="shared" ref="Z45:Z61" si="31">C45</f>
        <v>11.904776138540297</v>
      </c>
      <c r="AA45" s="471">
        <f t="shared" ref="AA45:AA61" si="32">(+G$63+H$63*C45)</f>
        <v>12.21586729913923</v>
      </c>
      <c r="AB45" s="441">
        <f t="shared" ref="AB45:AB61" si="33">D45</f>
        <v>11.632204798551918</v>
      </c>
      <c r="AC45" s="802">
        <f t="shared" si="16"/>
        <v>98</v>
      </c>
      <c r="AD45" s="435">
        <f t="shared" ref="AD45:AD61" si="34">AA45-SQRT($O$65)*$Q$65</f>
        <v>10.569082550801902</v>
      </c>
      <c r="AE45" s="441">
        <f t="shared" ref="AE45:AE61" si="35">AA45+SQRT($O$65)*$Q$65</f>
        <v>13.862652047476558</v>
      </c>
      <c r="AF45" s="440"/>
      <c r="AH45" s="54" t="s">
        <v>202</v>
      </c>
      <c r="AI45" s="440">
        <f>ROUND(H63,5)</f>
        <v>0.55359999999999998</v>
      </c>
      <c r="AR45" s="11"/>
    </row>
    <row r="46" spans="1:44">
      <c r="A46" s="455">
        <v>1995</v>
      </c>
      <c r="B46" s="440">
        <f t="shared" si="21"/>
        <v>1999</v>
      </c>
      <c r="C46" s="458">
        <f>LN(VLOOKUP($A46,'Brd Link'!$A$12:$E$60,4))</f>
        <v>10.307167724513286</v>
      </c>
      <c r="D46" s="458">
        <f>VLOOKUP($A46,'Brd Tbl'!$A$8:$AX$64,12)</f>
        <v>11.530092281583716</v>
      </c>
      <c r="E46" s="461">
        <v>48</v>
      </c>
      <c r="F46" s="461">
        <v>46</v>
      </c>
      <c r="G46" s="462">
        <v>5.6440438458731972</v>
      </c>
      <c r="H46" s="462">
        <v>0.55104066895805004</v>
      </c>
      <c r="I46" s="463">
        <v>0.11990408439929734</v>
      </c>
      <c r="J46" s="461">
        <v>11.323712443851822</v>
      </c>
      <c r="K46" s="461">
        <v>1.2501155032158315</v>
      </c>
      <c r="L46" s="461">
        <v>0.31466300977078809</v>
      </c>
      <c r="M46" s="462">
        <v>1.6023610710383318</v>
      </c>
      <c r="N46" s="458">
        <f t="shared" si="22"/>
        <v>0.20637983773189461</v>
      </c>
      <c r="O46" s="440">
        <f t="shared" si="23"/>
        <v>4.2592637422243153E-2</v>
      </c>
      <c r="P46" s="465">
        <f t="shared" si="3"/>
        <v>11.323712443851822</v>
      </c>
      <c r="Q46" s="440">
        <f t="shared" si="19"/>
        <v>9.6769276955144932</v>
      </c>
      <c r="R46" s="440">
        <f t="shared" si="24"/>
        <v>12.97049719218915</v>
      </c>
      <c r="S46" s="466">
        <f t="shared" si="20"/>
        <v>965802.62804210733</v>
      </c>
      <c r="T46" s="440">
        <f t="shared" si="25"/>
        <v>932774716333.04114</v>
      </c>
      <c r="U46" s="466">
        <f t="shared" si="26"/>
        <v>82761.018946758864</v>
      </c>
      <c r="V46" s="467">
        <f t="shared" si="27"/>
        <v>15945.432371603578</v>
      </c>
      <c r="W46" s="467">
        <f t="shared" si="28"/>
        <v>429551.61688205507</v>
      </c>
      <c r="X46" s="468">
        <f t="shared" si="29"/>
        <v>-0.18647598952577149</v>
      </c>
      <c r="Y46" s="468">
        <f t="shared" si="30"/>
        <v>0.18647598952577149</v>
      </c>
      <c r="Z46" s="441">
        <f t="shared" si="31"/>
        <v>10.307167724513286</v>
      </c>
      <c r="AA46" s="471">
        <f t="shared" si="32"/>
        <v>11.331432722504164</v>
      </c>
      <c r="AB46" s="441">
        <f t="shared" si="33"/>
        <v>11.530092281583716</v>
      </c>
      <c r="AC46" s="802">
        <f t="shared" si="16"/>
        <v>99</v>
      </c>
      <c r="AD46" s="435">
        <f t="shared" si="34"/>
        <v>9.6846479741668361</v>
      </c>
      <c r="AE46" s="441">
        <f t="shared" si="35"/>
        <v>12.978217470841493</v>
      </c>
      <c r="AF46" s="440"/>
      <c r="AH46" s="54" t="s">
        <v>182</v>
      </c>
      <c r="AI46" s="510">
        <f>X66</f>
        <v>1.8818202440295966</v>
      </c>
      <c r="AR46" s="11"/>
    </row>
    <row r="47" spans="1:44">
      <c r="A47" s="455">
        <v>1996</v>
      </c>
      <c r="B47" s="440">
        <f t="shared" si="21"/>
        <v>2000</v>
      </c>
      <c r="C47" s="458">
        <f>LN(VLOOKUP($A47,'Brd Link'!$A$12:$E$60,4))</f>
        <v>9.4491825260610103</v>
      </c>
      <c r="D47" s="458">
        <f>VLOOKUP($A47,'Brd Tbl'!$A$8:$AX$64,12)</f>
        <v>11.098819997280653</v>
      </c>
      <c r="E47" s="461">
        <v>48</v>
      </c>
      <c r="F47" s="461">
        <v>46</v>
      </c>
      <c r="G47" s="462">
        <v>5.6306170909802056</v>
      </c>
      <c r="H47" s="462">
        <v>0.55244814324217728</v>
      </c>
      <c r="I47" s="463">
        <v>0.11898808350144524</v>
      </c>
      <c r="J47" s="461">
        <v>10.850800432659037</v>
      </c>
      <c r="K47" s="461">
        <v>1.249949312249041</v>
      </c>
      <c r="L47" s="461">
        <v>0.31908739056914193</v>
      </c>
      <c r="M47" s="462">
        <v>1.601966882142231</v>
      </c>
      <c r="N47" s="458">
        <f t="shared" si="22"/>
        <v>0.24801956462161634</v>
      </c>
      <c r="O47" s="440">
        <f t="shared" si="23"/>
        <v>6.1513704435096121E-2</v>
      </c>
      <c r="P47" s="465">
        <f t="shared" si="3"/>
        <v>10.850800432659037</v>
      </c>
      <c r="Q47" s="440">
        <f t="shared" si="19"/>
        <v>9.2040156843217069</v>
      </c>
      <c r="R47" s="440">
        <f t="shared" si="24"/>
        <v>12.497585180996367</v>
      </c>
      <c r="S47" s="466">
        <f t="shared" si="20"/>
        <v>572950.57556717843</v>
      </c>
      <c r="T47" s="440">
        <f t="shared" si="25"/>
        <v>328272362042.76105</v>
      </c>
      <c r="U47" s="466">
        <f t="shared" si="26"/>
        <v>51575.41748685229</v>
      </c>
      <c r="V47" s="467">
        <f t="shared" si="27"/>
        <v>9936.9527108272669</v>
      </c>
      <c r="W47" s="467">
        <f t="shared" si="28"/>
        <v>267690.08229703625</v>
      </c>
      <c r="X47" s="468">
        <f t="shared" si="29"/>
        <v>-0.2196553240196305</v>
      </c>
      <c r="Y47" s="468">
        <f t="shared" si="30"/>
        <v>0.2196553240196305</v>
      </c>
      <c r="Z47" s="441">
        <f t="shared" si="31"/>
        <v>9.4491825260610103</v>
      </c>
      <c r="AA47" s="471">
        <f t="shared" si="32"/>
        <v>10.856452890719513</v>
      </c>
      <c r="AB47" s="441">
        <f t="shared" si="33"/>
        <v>11.098819997280653</v>
      </c>
      <c r="AC47" s="799" t="s">
        <v>315</v>
      </c>
      <c r="AD47" s="435">
        <f t="shared" si="34"/>
        <v>9.2096681423821849</v>
      </c>
      <c r="AE47" s="441">
        <f t="shared" si="35"/>
        <v>12.503237639056842</v>
      </c>
      <c r="AF47" s="440"/>
      <c r="AH47" s="54"/>
      <c r="AI47" s="11"/>
      <c r="AR47" s="11"/>
    </row>
    <row r="48" spans="1:44">
      <c r="A48" s="455">
        <v>1997</v>
      </c>
      <c r="B48" s="440">
        <f t="shared" si="21"/>
        <v>2001</v>
      </c>
      <c r="C48" s="458">
        <f>LN(VLOOKUP($A48,'Brd Link'!$A$12:$E$60,4))</f>
        <v>9.0215762013225334</v>
      </c>
      <c r="D48" s="458">
        <f>VLOOKUP($A48,'Brd Tbl'!$A$8:$AX$64,12)</f>
        <v>11.988035255548843</v>
      </c>
      <c r="E48" s="461">
        <v>48</v>
      </c>
      <c r="F48" s="461">
        <v>46</v>
      </c>
      <c r="G48" s="462">
        <v>5.6065602874002556</v>
      </c>
      <c r="H48" s="462">
        <v>0.55251642363658982</v>
      </c>
      <c r="I48" s="463">
        <v>0.11730666304133919</v>
      </c>
      <c r="J48" s="461">
        <v>10.591129305719953</v>
      </c>
      <c r="K48" s="461">
        <v>1.2337455311431005</v>
      </c>
      <c r="L48" s="461">
        <v>0.32535753286364943</v>
      </c>
      <c r="M48" s="462">
        <v>1.5625953711373919</v>
      </c>
      <c r="N48" s="458">
        <f t="shared" si="22"/>
        <v>1.3969059498288896</v>
      </c>
      <c r="O48" s="440">
        <f t="shared" si="23"/>
        <v>1.9513462326673523</v>
      </c>
      <c r="P48" s="465">
        <f t="shared" si="3"/>
        <v>10.591129305719953</v>
      </c>
      <c r="Q48" s="440">
        <f t="shared" si="19"/>
        <v>8.9443445573826246</v>
      </c>
      <c r="R48" s="440">
        <f t="shared" si="24"/>
        <v>12.237914054057281</v>
      </c>
      <c r="S48" s="466">
        <f t="shared" si="20"/>
        <v>1411061.1535424469</v>
      </c>
      <c r="T48" s="440">
        <f t="shared" si="25"/>
        <v>1991093579036.541</v>
      </c>
      <c r="U48" s="466">
        <f t="shared" si="26"/>
        <v>39780.387988643037</v>
      </c>
      <c r="V48" s="467">
        <f t="shared" si="27"/>
        <v>7664.4233536699376</v>
      </c>
      <c r="W48" s="467">
        <f t="shared" si="28"/>
        <v>206470.75396340684</v>
      </c>
      <c r="X48" s="468">
        <f t="shared" si="29"/>
        <v>-0.75263887110718752</v>
      </c>
      <c r="Y48" s="468">
        <f t="shared" si="30"/>
        <v>0.75263887110718752</v>
      </c>
      <c r="Z48" s="441">
        <f t="shared" si="31"/>
        <v>9.0215762013225334</v>
      </c>
      <c r="AA48" s="471">
        <f t="shared" si="32"/>
        <v>10.619730415132853</v>
      </c>
      <c r="AB48" s="441">
        <f t="shared" si="33"/>
        <v>11.988035255548843</v>
      </c>
      <c r="AC48" s="799" t="s">
        <v>316</v>
      </c>
      <c r="AD48" s="435">
        <f t="shared" si="34"/>
        <v>8.9729456667955247</v>
      </c>
      <c r="AE48" s="441">
        <f t="shared" si="35"/>
        <v>12.266515163470181</v>
      </c>
      <c r="AF48" s="440"/>
      <c r="AH48" s="54"/>
      <c r="AI48" s="11"/>
      <c r="AR48" s="11"/>
    </row>
    <row r="49" spans="1:44">
      <c r="A49" s="455">
        <v>1998</v>
      </c>
      <c r="B49" s="440">
        <f t="shared" si="21"/>
        <v>2002</v>
      </c>
      <c r="C49" s="458">
        <f>LN(VLOOKUP($A49,'Brd Link'!$A$12:$E$60,4))</f>
        <v>9.5921190125256324</v>
      </c>
      <c r="D49" s="458">
        <f>VLOOKUP($A49,'Brd Tbl'!$A$8:$AX$64,12)</f>
        <v>10.947893925516528</v>
      </c>
      <c r="E49" s="461">
        <v>48</v>
      </c>
      <c r="F49" s="461">
        <v>46</v>
      </c>
      <c r="G49" s="462">
        <v>5.6258053925933629</v>
      </c>
      <c r="H49" s="462">
        <v>0.55352423780992543</v>
      </c>
      <c r="I49" s="463">
        <v>0.1191298618630489</v>
      </c>
      <c r="J49" s="461">
        <v>10.935275757983709</v>
      </c>
      <c r="K49" s="461">
        <v>1.2504705850041615</v>
      </c>
      <c r="L49" s="461">
        <v>0.31941562222016878</v>
      </c>
      <c r="M49" s="462">
        <v>1.6032451006064641</v>
      </c>
      <c r="N49" s="458">
        <f t="shared" si="22"/>
        <v>1.2618167532819413E-2</v>
      </c>
      <c r="O49" s="440">
        <f t="shared" si="23"/>
        <v>1.5921815188629795E-4</v>
      </c>
      <c r="P49" s="465">
        <f t="shared" si="3"/>
        <v>10.935275757983709</v>
      </c>
      <c r="Q49" s="440">
        <f t="shared" si="19"/>
        <v>9.2884910096463784</v>
      </c>
      <c r="R49" s="440">
        <f t="shared" si="24"/>
        <v>12.582060506321039</v>
      </c>
      <c r="S49" s="466">
        <f t="shared" si="20"/>
        <v>489039.03868794715</v>
      </c>
      <c r="T49" s="440">
        <f t="shared" si="25"/>
        <v>239159181360.83148</v>
      </c>
      <c r="U49" s="466">
        <f t="shared" si="26"/>
        <v>56121.583940173783</v>
      </c>
      <c r="V49" s="467">
        <f t="shared" si="27"/>
        <v>10812.855287354565</v>
      </c>
      <c r="W49" s="467">
        <f t="shared" si="28"/>
        <v>291285.89075240918</v>
      </c>
      <c r="X49" s="468">
        <f t="shared" si="29"/>
        <v>-1.2538892243487934E-2</v>
      </c>
      <c r="Y49" s="468">
        <f t="shared" si="30"/>
        <v>1.2538892243487934E-2</v>
      </c>
      <c r="Z49" s="441">
        <f t="shared" si="31"/>
        <v>9.5921190125256324</v>
      </c>
      <c r="AA49" s="471">
        <f t="shared" si="32"/>
        <v>10.935582400668316</v>
      </c>
      <c r="AB49" s="441">
        <f t="shared" si="33"/>
        <v>10.947893925516528</v>
      </c>
      <c r="AC49" s="799" t="s">
        <v>324</v>
      </c>
      <c r="AD49" s="435">
        <f t="shared" si="34"/>
        <v>9.2887976523309881</v>
      </c>
      <c r="AE49" s="441">
        <f t="shared" si="35"/>
        <v>12.582367149005645</v>
      </c>
      <c r="AF49" s="440"/>
      <c r="AH49" s="54"/>
      <c r="AI49" s="11"/>
      <c r="AR49" s="11"/>
    </row>
    <row r="50" spans="1:44">
      <c r="A50" s="455">
        <v>1999</v>
      </c>
      <c r="B50" s="440">
        <f t="shared" si="21"/>
        <v>2003</v>
      </c>
      <c r="C50" s="458">
        <f>LN(VLOOKUP($A50,'Brd Link'!$A$12:$E$60,4))</f>
        <v>8.9332970094275055</v>
      </c>
      <c r="D50" s="458">
        <f>VLOOKUP($A50,'Brd Tbl'!$A$8:$AX$64,12)</f>
        <v>11.171887521512488</v>
      </c>
      <c r="E50" s="461">
        <v>48</v>
      </c>
      <c r="F50" s="461">
        <v>46</v>
      </c>
      <c r="G50" s="462">
        <v>5.6127465240410057</v>
      </c>
      <c r="H50" s="462">
        <v>0.55361320053985486</v>
      </c>
      <c r="I50" s="463">
        <v>0.11858785249422678</v>
      </c>
      <c r="J50" s="461">
        <v>10.558337672803281</v>
      </c>
      <c r="K50" s="461">
        <v>1.2472624103710721</v>
      </c>
      <c r="L50" s="461">
        <v>0.32147162587817846</v>
      </c>
      <c r="M50" s="462">
        <v>1.5954058464668976</v>
      </c>
      <c r="N50" s="458">
        <f t="shared" si="22"/>
        <v>0.61354984870920681</v>
      </c>
      <c r="O50" s="440">
        <f t="shared" si="23"/>
        <v>0.37644341685109056</v>
      </c>
      <c r="P50" s="465">
        <f t="shared" si="3"/>
        <v>10.558337672803281</v>
      </c>
      <c r="Q50" s="440">
        <f t="shared" si="19"/>
        <v>8.9115529244659513</v>
      </c>
      <c r="R50" s="440">
        <f t="shared" si="24"/>
        <v>12.205122421140612</v>
      </c>
      <c r="S50" s="466">
        <f t="shared" si="20"/>
        <v>596688.86022954038</v>
      </c>
      <c r="T50" s="440">
        <f t="shared" si="25"/>
        <v>356037595922.02795</v>
      </c>
      <c r="U50" s="466">
        <f t="shared" si="26"/>
        <v>38497.079983044474</v>
      </c>
      <c r="V50" s="467">
        <f t="shared" si="27"/>
        <v>7417.1704648627756</v>
      </c>
      <c r="W50" s="467">
        <f t="shared" si="28"/>
        <v>199810.04538613398</v>
      </c>
      <c r="X50" s="468">
        <f t="shared" si="29"/>
        <v>-0.45857452485625882</v>
      </c>
      <c r="Y50" s="468">
        <f t="shared" si="30"/>
        <v>0.45857452485625882</v>
      </c>
      <c r="Z50" s="441">
        <f t="shared" si="31"/>
        <v>8.9332970094275055</v>
      </c>
      <c r="AA50" s="471">
        <f t="shared" si="32"/>
        <v>10.570859134145694</v>
      </c>
      <c r="AB50" s="441">
        <f t="shared" si="33"/>
        <v>11.171887521512488</v>
      </c>
      <c r="AC50" s="799" t="s">
        <v>349</v>
      </c>
      <c r="AD50" s="435">
        <f t="shared" si="34"/>
        <v>8.924074385808364</v>
      </c>
      <c r="AE50" s="441">
        <f t="shared" si="35"/>
        <v>12.217643882483024</v>
      </c>
      <c r="AF50" s="440"/>
      <c r="AH50" s="54"/>
      <c r="AI50" s="11"/>
      <c r="AR50" s="11"/>
    </row>
    <row r="51" spans="1:44">
      <c r="A51" s="455">
        <v>2000</v>
      </c>
      <c r="B51" s="440">
        <f t="shared" si="21"/>
        <v>2004</v>
      </c>
      <c r="C51" s="458">
        <f>LN(VLOOKUP($A51,'Brd Link'!$A$12:$E$60,4))</f>
        <v>9.6642080418653293</v>
      </c>
      <c r="D51" s="458">
        <f>VLOOKUP($A51,'Brd Tbl'!$A$8:$AX$64,12)</f>
        <v>11.489160711917497</v>
      </c>
      <c r="E51" s="461">
        <v>48</v>
      </c>
      <c r="F51" s="461">
        <v>46</v>
      </c>
      <c r="G51" s="462">
        <v>5.6456441359624421</v>
      </c>
      <c r="H51" s="462">
        <v>0.5501294437446228</v>
      </c>
      <c r="I51" s="463">
        <v>0.11896065002146673</v>
      </c>
      <c r="J51" s="461">
        <v>10.962209530266126</v>
      </c>
      <c r="K51" s="461">
        <v>1.2481168759352896</v>
      </c>
      <c r="L51" s="461">
        <v>0.31736241220191935</v>
      </c>
      <c r="M51" s="462">
        <v>1.5974634687378833</v>
      </c>
      <c r="N51" s="458">
        <f t="shared" si="22"/>
        <v>0.52695118165137167</v>
      </c>
      <c r="O51" s="440">
        <f t="shared" si="23"/>
        <v>0.27767754784377691</v>
      </c>
      <c r="P51" s="465">
        <f t="shared" si="3"/>
        <v>10.962209530266126</v>
      </c>
      <c r="Q51" s="440">
        <f t="shared" si="19"/>
        <v>9.3154247819287974</v>
      </c>
      <c r="R51" s="440">
        <f t="shared" si="24"/>
        <v>12.608994278603454</v>
      </c>
      <c r="S51" s="466">
        <f t="shared" si="20"/>
        <v>886071.11302619439</v>
      </c>
      <c r="T51" s="440">
        <f t="shared" si="25"/>
        <v>785122017339.479</v>
      </c>
      <c r="U51" s="466">
        <f t="shared" si="26"/>
        <v>57653.689981484858</v>
      </c>
      <c r="V51" s="467">
        <f t="shared" si="27"/>
        <v>11108.043693427342</v>
      </c>
      <c r="W51" s="467">
        <f t="shared" si="28"/>
        <v>299237.92705712491</v>
      </c>
      <c r="X51" s="468">
        <f t="shared" si="29"/>
        <v>-0.40959774227980877</v>
      </c>
      <c r="Y51" s="468">
        <f t="shared" si="30"/>
        <v>0.40959774227980877</v>
      </c>
      <c r="Z51" s="441">
        <f t="shared" si="31"/>
        <v>9.6642080418653293</v>
      </c>
      <c r="AA51" s="471">
        <f t="shared" si="32"/>
        <v>10.975490822271691</v>
      </c>
      <c r="AB51" s="441">
        <f t="shared" si="33"/>
        <v>11.489160711917497</v>
      </c>
      <c r="AC51" s="799" t="s">
        <v>350</v>
      </c>
      <c r="AD51" s="435">
        <f t="shared" si="34"/>
        <v>9.328706073934363</v>
      </c>
      <c r="AE51" s="441">
        <f t="shared" si="35"/>
        <v>12.62227557060902</v>
      </c>
      <c r="AF51" s="440"/>
      <c r="AH51" s="54"/>
      <c r="AI51" s="11"/>
      <c r="AR51" s="11"/>
    </row>
    <row r="52" spans="1:44">
      <c r="A52" s="455">
        <v>2001</v>
      </c>
      <c r="B52" s="440">
        <f t="shared" si="21"/>
        <v>2005</v>
      </c>
      <c r="C52" s="458">
        <f>LN(VLOOKUP($A52,'Brd Link'!$A$12:$E$60,4))</f>
        <v>8.8309871049856525</v>
      </c>
      <c r="D52" s="458">
        <f>VLOOKUP($A52,'Brd Tbl'!$A$8:$AX$64,12)</f>
        <v>11.792349508205923</v>
      </c>
      <c r="E52" s="461">
        <v>48</v>
      </c>
      <c r="F52" s="461">
        <v>46</v>
      </c>
      <c r="G52" s="462">
        <v>5.5877112764657646</v>
      </c>
      <c r="H52" s="462">
        <v>0.55483594884448839</v>
      </c>
      <c r="I52" s="463">
        <v>0.11751250325715809</v>
      </c>
      <c r="J52" s="461">
        <v>10.487460386093922</v>
      </c>
      <c r="K52" s="461">
        <v>1.2358896296207273</v>
      </c>
      <c r="L52" s="461">
        <v>0.32642790802253829</v>
      </c>
      <c r="M52" s="462">
        <v>1.5677747588803321</v>
      </c>
      <c r="N52" s="458">
        <f t="shared" si="22"/>
        <v>1.3048891221120016</v>
      </c>
      <c r="O52" s="440">
        <f t="shared" si="23"/>
        <v>1.7027356210062301</v>
      </c>
      <c r="P52" s="465">
        <f t="shared" si="3"/>
        <v>10.487460386093922</v>
      </c>
      <c r="Q52" s="440">
        <f t="shared" si="19"/>
        <v>8.8406756377565934</v>
      </c>
      <c r="R52" s="440">
        <f t="shared" si="24"/>
        <v>12.13424513443125</v>
      </c>
      <c r="S52" s="466">
        <f t="shared" si="20"/>
        <v>1131918.4821908008</v>
      </c>
      <c r="T52" s="440">
        <f t="shared" si="25"/>
        <v>1281239450325.1262</v>
      </c>
      <c r="U52" s="466">
        <f t="shared" si="26"/>
        <v>35862.963554652662</v>
      </c>
      <c r="V52" s="467">
        <f t="shared" si="27"/>
        <v>6909.6594904646599</v>
      </c>
      <c r="W52" s="467">
        <f t="shared" si="28"/>
        <v>186138.28318128226</v>
      </c>
      <c r="X52" s="468">
        <f t="shared" si="29"/>
        <v>-0.72879739624948459</v>
      </c>
      <c r="Y52" s="468">
        <f t="shared" si="30"/>
        <v>0.72879739624948459</v>
      </c>
      <c r="Z52" s="441">
        <f t="shared" si="31"/>
        <v>8.8309871049856525</v>
      </c>
      <c r="AA52" s="471">
        <f t="shared" si="32"/>
        <v>10.51422046335119</v>
      </c>
      <c r="AB52" s="441">
        <f t="shared" si="33"/>
        <v>11.792349508205923</v>
      </c>
      <c r="AC52" s="799" t="s">
        <v>351</v>
      </c>
      <c r="AD52" s="435">
        <f t="shared" si="34"/>
        <v>8.8674357150138619</v>
      </c>
      <c r="AE52" s="441">
        <f t="shared" si="35"/>
        <v>12.161005211688519</v>
      </c>
      <c r="AF52" s="440"/>
      <c r="AH52" s="54"/>
      <c r="AI52" s="11"/>
      <c r="AR52" s="11"/>
    </row>
    <row r="53" spans="1:44">
      <c r="A53" s="455">
        <v>2002</v>
      </c>
      <c r="B53" s="440">
        <f t="shared" si="21"/>
        <v>2006</v>
      </c>
      <c r="C53" s="458">
        <f>LN(VLOOKUP($A53,'Brd Link'!$A$12:$E$60,4))</f>
        <v>8.7144924910752639</v>
      </c>
      <c r="D53" s="458">
        <f>VLOOKUP($A53,'Brd Tbl'!$A$8:$AX$64,12)</f>
        <v>11.090258885682895</v>
      </c>
      <c r="E53" s="461">
        <v>48</v>
      </c>
      <c r="F53" s="461">
        <v>46</v>
      </c>
      <c r="G53" s="462">
        <v>5.6003468294151943</v>
      </c>
      <c r="H53" s="462">
        <v>0.55490806648022761</v>
      </c>
      <c r="I53" s="463">
        <v>0.11857301015076756</v>
      </c>
      <c r="J53" s="461">
        <v>10.43608900799423</v>
      </c>
      <c r="K53" s="461">
        <v>1.2468243796729221</v>
      </c>
      <c r="L53" s="461">
        <v>0.32254635466620563</v>
      </c>
      <c r="M53" s="462">
        <v>1.5943330378830618</v>
      </c>
      <c r="N53" s="458">
        <f t="shared" si="22"/>
        <v>0.65416987768866441</v>
      </c>
      <c r="O53" s="440">
        <f t="shared" si="23"/>
        <v>0.42793822887520216</v>
      </c>
      <c r="P53" s="465">
        <f t="shared" si="3"/>
        <v>10.43608900799423</v>
      </c>
      <c r="Q53" s="440">
        <f t="shared" si="19"/>
        <v>8.7893042596569018</v>
      </c>
      <c r="R53" s="440">
        <f t="shared" si="24"/>
        <v>12.082873756331558</v>
      </c>
      <c r="S53" s="466">
        <f t="shared" si="20"/>
        <v>536990.99862660118</v>
      </c>
      <c r="T53" s="440">
        <f t="shared" si="25"/>
        <v>288359332605.99438</v>
      </c>
      <c r="U53" s="466">
        <f t="shared" si="26"/>
        <v>34067.155183123694</v>
      </c>
      <c r="V53" s="467">
        <f t="shared" si="27"/>
        <v>6563.6639806825015</v>
      </c>
      <c r="W53" s="467">
        <f t="shared" si="28"/>
        <v>176817.56191156412</v>
      </c>
      <c r="X53" s="468">
        <f t="shared" si="29"/>
        <v>-0.48012655794326303</v>
      </c>
      <c r="Y53" s="468">
        <f t="shared" si="30"/>
        <v>0.48012655794326303</v>
      </c>
      <c r="Z53" s="441">
        <f t="shared" si="31"/>
        <v>8.7144924910752639</v>
      </c>
      <c r="AA53" s="471">
        <f t="shared" si="32"/>
        <v>10.449729150192422</v>
      </c>
      <c r="AB53" s="441">
        <f t="shared" si="33"/>
        <v>11.090258885682895</v>
      </c>
      <c r="AC53" s="799" t="s">
        <v>361</v>
      </c>
      <c r="AD53" s="435">
        <f t="shared" si="34"/>
        <v>8.8029444018550933</v>
      </c>
      <c r="AE53" s="441">
        <f t="shared" si="35"/>
        <v>12.09651389852975</v>
      </c>
      <c r="AF53" s="440"/>
      <c r="AH53" s="54"/>
      <c r="AI53" s="11"/>
      <c r="AR53" s="11"/>
    </row>
    <row r="54" spans="1:44">
      <c r="A54" s="455">
        <v>2003</v>
      </c>
      <c r="B54" s="440">
        <f t="shared" si="21"/>
        <v>2007</v>
      </c>
      <c r="C54" s="458">
        <f>LN(VLOOKUP($A54,'Brd Link'!$A$12:$E$60,4))</f>
        <v>8.5588084665941651</v>
      </c>
      <c r="D54" s="458">
        <f>VLOOKUP($A54,'Brd Tbl'!$A$8:$AX$64,12)</f>
        <v>11.377305266840285</v>
      </c>
      <c r="E54" s="461">
        <v>48</v>
      </c>
      <c r="F54" s="461">
        <v>46</v>
      </c>
      <c r="G54" s="462">
        <v>5.5726860551943185</v>
      </c>
      <c r="H54" s="462">
        <v>0.55713095579583327</v>
      </c>
      <c r="I54" s="463">
        <v>0.118099103682041</v>
      </c>
      <c r="J54" s="461">
        <v>10.341063196661395</v>
      </c>
      <c r="K54" s="461">
        <v>1.2413069839080353</v>
      </c>
      <c r="L54" s="461">
        <v>0.32605355088979543</v>
      </c>
      <c r="M54" s="462">
        <v>1.5808776337344488</v>
      </c>
      <c r="N54" s="458">
        <f t="shared" si="22"/>
        <v>1.0362420701788899</v>
      </c>
      <c r="O54" s="440">
        <f t="shared" si="23"/>
        <v>1.0737976280086314</v>
      </c>
      <c r="P54" s="465">
        <f t="shared" si="3"/>
        <v>10.341063196661395</v>
      </c>
      <c r="Q54" s="440">
        <f t="shared" si="19"/>
        <v>8.6942784483240665</v>
      </c>
      <c r="R54" s="440">
        <f t="shared" si="24"/>
        <v>11.987847944998723</v>
      </c>
      <c r="S54" s="466">
        <f t="shared" si="20"/>
        <v>716354.12664071564</v>
      </c>
      <c r="T54" s="440">
        <f t="shared" si="25"/>
        <v>513163234755.18243</v>
      </c>
      <c r="U54" s="466">
        <f t="shared" si="26"/>
        <v>30978.949259572026</v>
      </c>
      <c r="V54" s="467">
        <f t="shared" si="27"/>
        <v>5968.6643138072404</v>
      </c>
      <c r="W54" s="467">
        <f t="shared" si="28"/>
        <v>160788.95491024456</v>
      </c>
      <c r="X54" s="468">
        <f t="shared" si="29"/>
        <v>-0.64521456127228527</v>
      </c>
      <c r="Y54" s="468">
        <f t="shared" si="30"/>
        <v>0.64521456127228527</v>
      </c>
      <c r="Z54" s="441">
        <f t="shared" si="31"/>
        <v>8.5588084665941651</v>
      </c>
      <c r="AA54" s="471">
        <f t="shared" si="32"/>
        <v>10.36354261469859</v>
      </c>
      <c r="AB54" s="441">
        <f t="shared" si="33"/>
        <v>11.377305266840285</v>
      </c>
      <c r="AC54" s="799" t="s">
        <v>362</v>
      </c>
      <c r="AD54" s="435">
        <f t="shared" si="34"/>
        <v>8.7167578663612595</v>
      </c>
      <c r="AE54" s="441">
        <f t="shared" si="35"/>
        <v>12.01032736303592</v>
      </c>
      <c r="AF54" s="440"/>
      <c r="AH54" s="54"/>
      <c r="AI54" s="11"/>
      <c r="AR54" s="11"/>
    </row>
    <row r="55" spans="1:44">
      <c r="A55" s="455">
        <v>2004</v>
      </c>
      <c r="B55" s="440">
        <f t="shared" si="21"/>
        <v>2008</v>
      </c>
      <c r="C55" s="458">
        <f>LN(VLOOKUP($A55,'Brd Link'!$A$12:$E$60,4))</f>
        <v>10.097964899274954</v>
      </c>
      <c r="D55" s="458">
        <f>VLOOKUP($A55,'Brd Tbl'!$A$8:$AX$64,12)</f>
        <v>9.6464942455516205</v>
      </c>
      <c r="E55" s="461">
        <v>48</v>
      </c>
      <c r="F55" s="461">
        <v>46</v>
      </c>
      <c r="G55" s="462">
        <v>5.5062275158510836</v>
      </c>
      <c r="H55" s="462">
        <v>0.57063936518729974</v>
      </c>
      <c r="I55" s="463">
        <v>0.11750512406912428</v>
      </c>
      <c r="J55" s="461">
        <v>11.268523795656979</v>
      </c>
      <c r="K55" s="461">
        <v>1.2281491672702747</v>
      </c>
      <c r="L55" s="461">
        <v>0.33892455748448469</v>
      </c>
      <c r="M55" s="462">
        <v>1.5484363372051497</v>
      </c>
      <c r="N55" s="458">
        <f t="shared" si="22"/>
        <v>-1.6220295501053581</v>
      </c>
      <c r="O55" s="487">
        <f t="shared" si="23"/>
        <v>2.6309798614149904</v>
      </c>
      <c r="P55" s="465">
        <f t="shared" si="3"/>
        <v>11.268523795656979</v>
      </c>
      <c r="Q55" s="440">
        <f t="shared" si="19"/>
        <v>9.6217390473196502</v>
      </c>
      <c r="R55" s="440">
        <f t="shared" si="24"/>
        <v>12.915308543994307</v>
      </c>
      <c r="S55" s="466">
        <f t="shared" si="20"/>
        <v>77872.647462839202</v>
      </c>
      <c r="T55" s="440">
        <f t="shared" si="25"/>
        <v>6064149222.8716373</v>
      </c>
      <c r="U55" s="466">
        <f t="shared" si="26"/>
        <v>78317.29945176639</v>
      </c>
      <c r="V55" s="467">
        <f t="shared" si="27"/>
        <v>15089.268085717224</v>
      </c>
      <c r="W55" s="467">
        <f t="shared" si="28"/>
        <v>406487.53528498969</v>
      </c>
      <c r="X55" s="468">
        <f t="shared" si="29"/>
        <v>4.0633562306178703</v>
      </c>
      <c r="Y55" s="468">
        <f t="shared" si="30"/>
        <v>4.0633562306178703</v>
      </c>
      <c r="Z55" s="441">
        <f t="shared" si="31"/>
        <v>10.097964899274954</v>
      </c>
      <c r="AA55" s="471">
        <f t="shared" si="32"/>
        <v>11.215618227196057</v>
      </c>
      <c r="AB55" s="441">
        <f t="shared" si="33"/>
        <v>9.6464942455516205</v>
      </c>
      <c r="AC55" s="799" t="s">
        <v>363</v>
      </c>
      <c r="AD55" s="435">
        <f t="shared" si="34"/>
        <v>9.5688334788587284</v>
      </c>
      <c r="AE55" s="441">
        <f t="shared" si="35"/>
        <v>12.862402975533385</v>
      </c>
      <c r="AF55" s="440"/>
      <c r="AH55" s="54"/>
      <c r="AI55" s="11"/>
      <c r="AR55" s="11"/>
    </row>
    <row r="56" spans="1:44">
      <c r="A56" s="455">
        <v>2005</v>
      </c>
      <c r="B56" s="440">
        <f t="shared" si="21"/>
        <v>2009</v>
      </c>
      <c r="C56" s="458">
        <f>LN(VLOOKUP($A56,'Brd Link'!$A$12:$E$60,4))</f>
        <v>7.8876004921868139</v>
      </c>
      <c r="D56" s="458">
        <f>VLOOKUP($A56,'Brd Tbl'!$A$8:$AX$64,12)</f>
        <v>10.693310040674076</v>
      </c>
      <c r="E56" s="461">
        <v>48</v>
      </c>
      <c r="F56" s="461">
        <v>46</v>
      </c>
      <c r="G56" s="462">
        <v>5.5493872896413086</v>
      </c>
      <c r="H56" s="462">
        <v>0.56045302494220461</v>
      </c>
      <c r="I56" s="463">
        <v>0.1190782871608053</v>
      </c>
      <c r="J56" s="461">
        <v>9.9700168450230304</v>
      </c>
      <c r="K56" s="461">
        <v>1.2460546684978742</v>
      </c>
      <c r="L56" s="461">
        <v>0.32503831883970558</v>
      </c>
      <c r="M56" s="462">
        <v>1.5923493958413972</v>
      </c>
      <c r="N56" s="458">
        <f t="shared" si="22"/>
        <v>0.72329319565104555</v>
      </c>
      <c r="O56" s="487">
        <f t="shared" si="23"/>
        <v>0.52315304687510167</v>
      </c>
      <c r="P56" s="465">
        <f t="shared" si="3"/>
        <v>9.9700168450230304</v>
      </c>
      <c r="Q56" s="440">
        <f t="shared" si="19"/>
        <v>8.3232320966857003</v>
      </c>
      <c r="R56" s="440">
        <f t="shared" si="24"/>
        <v>11.616801593360361</v>
      </c>
      <c r="S56" s="466">
        <f t="shared" si="20"/>
        <v>326152.67339016811</v>
      </c>
      <c r="T56" s="440">
        <f t="shared" si="25"/>
        <v>106375566359.55368</v>
      </c>
      <c r="U56" s="466">
        <f t="shared" si="26"/>
        <v>21375.8454240049</v>
      </c>
      <c r="V56" s="467">
        <f t="shared" si="27"/>
        <v>4118.4497476232409</v>
      </c>
      <c r="W56" s="467">
        <f t="shared" si="28"/>
        <v>110946.30154335227</v>
      </c>
      <c r="X56" s="468">
        <f t="shared" si="29"/>
        <v>-0.51484807789991871</v>
      </c>
      <c r="Y56" s="468">
        <f t="shared" si="30"/>
        <v>0.51484807789991871</v>
      </c>
      <c r="Z56" s="441">
        <f t="shared" si="31"/>
        <v>7.8876004921868139</v>
      </c>
      <c r="AA56" s="471">
        <f t="shared" si="32"/>
        <v>9.9919624856338665</v>
      </c>
      <c r="AB56" s="441">
        <f t="shared" si="33"/>
        <v>10.693310040674076</v>
      </c>
      <c r="AC56" s="799" t="s">
        <v>363</v>
      </c>
      <c r="AD56" s="435">
        <f t="shared" si="34"/>
        <v>8.3451777372965381</v>
      </c>
      <c r="AE56" s="441">
        <f t="shared" si="35"/>
        <v>11.638747233971195</v>
      </c>
      <c r="AF56" s="440"/>
      <c r="AH56" s="54"/>
      <c r="AI56" s="11"/>
      <c r="AR56" s="11"/>
    </row>
    <row r="57" spans="1:44">
      <c r="A57" s="455">
        <v>2006</v>
      </c>
      <c r="B57" s="440">
        <f t="shared" si="21"/>
        <v>2010</v>
      </c>
      <c r="C57" s="458">
        <f>LN(VLOOKUP($A57,'Brd Link'!$A$12:$E$60,4))</f>
        <v>7.408557997551882</v>
      </c>
      <c r="D57" s="458">
        <f>VLOOKUP($A57,'Brd Tbl'!$A$8:$AX$64,12)</f>
        <v>9.8704379869059142</v>
      </c>
      <c r="E57" s="461">
        <v>48</v>
      </c>
      <c r="F57" s="461">
        <v>46</v>
      </c>
      <c r="G57" s="462">
        <v>5.6038422564274137</v>
      </c>
      <c r="H57" s="462">
        <v>0.55566859302994853</v>
      </c>
      <c r="I57" s="463">
        <v>0.12017567717701881</v>
      </c>
      <c r="J57" s="461">
        <v>9.7205452553078402</v>
      </c>
      <c r="K57" s="461">
        <v>1.25028472647259</v>
      </c>
      <c r="L57" s="461">
        <v>0.31730027156525092</v>
      </c>
      <c r="M57" s="462">
        <v>1.6027803378390881</v>
      </c>
      <c r="N57" s="458">
        <f t="shared" si="22"/>
        <v>0.14989273159807404</v>
      </c>
      <c r="O57" s="487">
        <f t="shared" si="23"/>
        <v>2.2467830985932264E-2</v>
      </c>
      <c r="P57" s="465">
        <f t="shared" si="3"/>
        <v>9.7205452553078402</v>
      </c>
      <c r="Q57" s="440">
        <f t="shared" si="19"/>
        <v>8.0737605069705118</v>
      </c>
      <c r="R57" s="440">
        <f t="shared" si="24"/>
        <v>11.367330003645169</v>
      </c>
      <c r="S57" s="466">
        <f t="shared" si="20"/>
        <v>126697.88085096408</v>
      </c>
      <c r="T57" s="440">
        <f t="shared" si="25"/>
        <v>16052353012.12509</v>
      </c>
      <c r="U57" s="466">
        <f t="shared" si="26"/>
        <v>16656.324203085875</v>
      </c>
      <c r="V57" s="467">
        <f t="shared" si="27"/>
        <v>3209.1471869222432</v>
      </c>
      <c r="W57" s="467">
        <f t="shared" si="28"/>
        <v>86450.735911673357</v>
      </c>
      <c r="X57" s="468">
        <f t="shared" si="29"/>
        <v>-0.13919969185373668</v>
      </c>
      <c r="Y57" s="468">
        <f t="shared" si="30"/>
        <v>0.13919969185373668</v>
      </c>
      <c r="Z57" s="441">
        <f t="shared" si="31"/>
        <v>7.408557997551882</v>
      </c>
      <c r="AA57" s="471">
        <f t="shared" si="32"/>
        <v>9.7267649927984987</v>
      </c>
      <c r="AB57" s="441">
        <f t="shared" si="33"/>
        <v>9.8704379869059142</v>
      </c>
      <c r="AC57" s="799" t="s">
        <v>363</v>
      </c>
      <c r="AD57" s="435">
        <f t="shared" si="34"/>
        <v>8.0799802444611686</v>
      </c>
      <c r="AE57" s="441">
        <f t="shared" si="35"/>
        <v>11.373549741135829</v>
      </c>
      <c r="AF57" s="440"/>
      <c r="AH57" s="54"/>
      <c r="AI57" s="11"/>
      <c r="AR57" s="11"/>
    </row>
    <row r="58" spans="1:44">
      <c r="A58" s="455">
        <v>2007</v>
      </c>
      <c r="B58" s="440">
        <f t="shared" si="21"/>
        <v>2011</v>
      </c>
      <c r="C58" s="458">
        <f>LN(VLOOKUP($A58,'Brd Link'!$A$12:$E$60,4))</f>
        <v>8.8710681588590035</v>
      </c>
      <c r="D58" s="458">
        <f>VLOOKUP($A58,'Brd Tbl'!$A$8:$AX$64,12)</f>
        <v>11.385840386620675</v>
      </c>
      <c r="E58" s="461">
        <v>48</v>
      </c>
      <c r="F58" s="461">
        <v>46</v>
      </c>
      <c r="G58" s="462">
        <v>5.6031596447596881</v>
      </c>
      <c r="H58" s="462">
        <v>0.55410684621467621</v>
      </c>
      <c r="I58" s="463">
        <v>0.1182849656151044</v>
      </c>
      <c r="J58" s="461">
        <v>10.518679244820484</v>
      </c>
      <c r="K58" s="461">
        <v>1.2440527143426872</v>
      </c>
      <c r="L58" s="461">
        <v>0.32297797234488834</v>
      </c>
      <c r="M58" s="462">
        <v>1.5875824083627907</v>
      </c>
      <c r="N58" s="458">
        <f t="shared" si="22"/>
        <v>0.86716114180019055</v>
      </c>
      <c r="O58" s="487">
        <f t="shared" si="23"/>
        <v>0.75196844584821021</v>
      </c>
      <c r="P58" s="465">
        <f t="shared" si="3"/>
        <v>10.518679244820484</v>
      </c>
      <c r="Q58" s="440">
        <f t="shared" si="19"/>
        <v>8.8718944964831543</v>
      </c>
      <c r="R58" s="440">
        <f t="shared" si="24"/>
        <v>12.165463993157815</v>
      </c>
      <c r="S58" s="466">
        <f t="shared" si="20"/>
        <v>744238.15067326708</v>
      </c>
      <c r="T58" s="440">
        <f t="shared" si="25"/>
        <v>553890424917.56458</v>
      </c>
      <c r="U58" s="466">
        <f t="shared" si="26"/>
        <v>37000.22396886041</v>
      </c>
      <c r="V58" s="467">
        <f t="shared" si="27"/>
        <v>7128.7736248050833</v>
      </c>
      <c r="W58" s="467">
        <f t="shared" si="28"/>
        <v>192040.96606213448</v>
      </c>
      <c r="X58" s="468">
        <f t="shared" si="29"/>
        <v>-0.57985741692327042</v>
      </c>
      <c r="Y58" s="468">
        <f t="shared" si="30"/>
        <v>0.57985741692327042</v>
      </c>
      <c r="Z58" s="441">
        <f t="shared" si="31"/>
        <v>8.8710681588590035</v>
      </c>
      <c r="AA58" s="471">
        <f t="shared" si="32"/>
        <v>10.536409298614151</v>
      </c>
      <c r="AB58" s="441">
        <f t="shared" si="33"/>
        <v>11.385840386620675</v>
      </c>
      <c r="AC58" s="799" t="s">
        <v>363</v>
      </c>
      <c r="AD58" s="435">
        <f t="shared" si="34"/>
        <v>8.889624550276821</v>
      </c>
      <c r="AE58" s="441">
        <f t="shared" si="35"/>
        <v>12.183194046951481</v>
      </c>
      <c r="AF58" s="440"/>
      <c r="AH58" s="54"/>
      <c r="AI58" s="11"/>
      <c r="AR58" s="11"/>
    </row>
    <row r="59" spans="1:44">
      <c r="A59" s="455">
        <v>2008</v>
      </c>
      <c r="B59" s="440">
        <f t="shared" si="21"/>
        <v>2012</v>
      </c>
      <c r="C59" s="458">
        <f>LN(VLOOKUP($A59,'Brd Link'!$A$12:$E$60,4))</f>
        <v>7.1740783512018949</v>
      </c>
      <c r="D59" s="458">
        <f>VLOOKUP($A59,'Brd Tbl'!$A$8:$AX$64,12)</f>
        <v>11.100218577949152</v>
      </c>
      <c r="E59" s="461">
        <v>48</v>
      </c>
      <c r="F59" s="461">
        <v>46</v>
      </c>
      <c r="G59" s="462">
        <v>5.3683208880256306</v>
      </c>
      <c r="H59" s="462">
        <v>0.57875976145700236</v>
      </c>
      <c r="I59" s="463">
        <v>0.1186249913567427</v>
      </c>
      <c r="J59" s="461">
        <v>9.5203887632410833</v>
      </c>
      <c r="K59" s="461">
        <v>1.2296551812605272</v>
      </c>
      <c r="L59" s="461">
        <v>0.34100904185308856</v>
      </c>
      <c r="M59" s="462">
        <v>1.5512512875796174</v>
      </c>
      <c r="N59" s="458">
        <f t="shared" si="22"/>
        <v>1.5798298147080683</v>
      </c>
      <c r="O59" s="487">
        <f t="shared" si="23"/>
        <v>2.4958622434405293</v>
      </c>
      <c r="P59" s="465">
        <f t="shared" si="3"/>
        <v>9.5203887632410833</v>
      </c>
      <c r="Q59" s="440">
        <f t="shared" si="19"/>
        <v>7.8736040149037541</v>
      </c>
      <c r="R59" s="440">
        <f t="shared" si="24"/>
        <v>11.167173511578412</v>
      </c>
      <c r="S59" s="466">
        <f t="shared" si="20"/>
        <v>461185.95073030633</v>
      </c>
      <c r="T59" s="440">
        <f t="shared" si="25"/>
        <v>212692481151.01654</v>
      </c>
      <c r="U59" s="466">
        <f t="shared" si="26"/>
        <v>13634.910935944497</v>
      </c>
      <c r="V59" s="467">
        <f t="shared" si="27"/>
        <v>2627.0163536991513</v>
      </c>
      <c r="W59" s="467">
        <f t="shared" si="28"/>
        <v>70768.800494657829</v>
      </c>
      <c r="X59" s="468">
        <f t="shared" si="29"/>
        <v>-0.79398984487989677</v>
      </c>
      <c r="Y59" s="468">
        <f t="shared" si="30"/>
        <v>0.79398984487989677</v>
      </c>
      <c r="Z59" s="441">
        <f t="shared" si="31"/>
        <v>7.1740783512018949</v>
      </c>
      <c r="AA59" s="471">
        <f t="shared" si="32"/>
        <v>9.5969572721278524</v>
      </c>
      <c r="AB59" s="441">
        <f t="shared" si="33"/>
        <v>11.100218577949152</v>
      </c>
      <c r="AC59" s="799" t="s">
        <v>363</v>
      </c>
      <c r="AD59" s="435">
        <f t="shared" si="34"/>
        <v>7.9501725237905232</v>
      </c>
      <c r="AE59" s="441">
        <f t="shared" si="35"/>
        <v>11.243742020465181</v>
      </c>
      <c r="AF59" s="440"/>
      <c r="AH59" s="54"/>
      <c r="AI59" s="11"/>
      <c r="AR59" s="11"/>
    </row>
    <row r="60" spans="1:44">
      <c r="A60" s="455">
        <v>2009</v>
      </c>
      <c r="B60" s="440">
        <f t="shared" si="21"/>
        <v>2013</v>
      </c>
      <c r="C60" s="458">
        <f>LN(VLOOKUP($A60,'Brd Link'!$A$12:$E$60,4))</f>
        <v>7.9677926218453861</v>
      </c>
      <c r="D60" s="458">
        <f>VLOOKUP($A60,'Brd Tbl'!$A$8:$AX$64,12)</f>
        <v>9.9927829021427534</v>
      </c>
      <c r="E60" s="461">
        <v>48</v>
      </c>
      <c r="F60" s="461">
        <v>46</v>
      </c>
      <c r="G60" s="462">
        <v>5.6298184050154374</v>
      </c>
      <c r="H60" s="462">
        <v>0.55320643994498031</v>
      </c>
      <c r="I60" s="463">
        <v>0.11940883106906476</v>
      </c>
      <c r="J60" s="461">
        <v>10.037652595566403</v>
      </c>
      <c r="K60" s="461">
        <v>1.2504549403830034</v>
      </c>
      <c r="L60" s="461">
        <v>0.31815032269508636</v>
      </c>
      <c r="M60" s="462">
        <v>1.6032064741223797</v>
      </c>
      <c r="N60" s="458">
        <f t="shared" si="22"/>
        <v>-4.4869693423649437E-2</v>
      </c>
      <c r="O60" s="487">
        <f t="shared" si="23"/>
        <v>2.0132893879322897E-3</v>
      </c>
      <c r="P60" s="465">
        <f t="shared" si="3"/>
        <v>10.037652595566403</v>
      </c>
      <c r="Q60" s="440">
        <f t="shared" si="19"/>
        <v>8.3908678472290745</v>
      </c>
      <c r="R60" s="440">
        <f t="shared" si="24"/>
        <v>11.684437343903731</v>
      </c>
      <c r="S60" s="466">
        <f t="shared" si="20"/>
        <v>151368.62307810536</v>
      </c>
      <c r="T60" s="440">
        <f t="shared" si="25"/>
        <v>22912460052.561531</v>
      </c>
      <c r="U60" s="466">
        <f t="shared" si="26"/>
        <v>22871.630884676124</v>
      </c>
      <c r="V60" s="467">
        <f t="shared" si="27"/>
        <v>4406.6403258579667</v>
      </c>
      <c r="W60" s="467">
        <f t="shared" si="28"/>
        <v>118709.82441096361</v>
      </c>
      <c r="X60" s="468">
        <f t="shared" si="29"/>
        <v>4.5891564479813102E-2</v>
      </c>
      <c r="Y60" s="468">
        <f t="shared" si="30"/>
        <v>4.5891564479813102E-2</v>
      </c>
      <c r="Z60" s="441">
        <f t="shared" si="31"/>
        <v>7.9677926218453861</v>
      </c>
      <c r="AA60" s="471">
        <f t="shared" si="32"/>
        <v>10.036356776263112</v>
      </c>
      <c r="AB60" s="441">
        <f t="shared" si="33"/>
        <v>9.9927829021427534</v>
      </c>
      <c r="AC60" s="799" t="s">
        <v>363</v>
      </c>
      <c r="AD60" s="435">
        <f t="shared" si="34"/>
        <v>8.3895720279257837</v>
      </c>
      <c r="AE60" s="441">
        <f t="shared" si="35"/>
        <v>11.68314152460044</v>
      </c>
      <c r="AF60" s="440"/>
      <c r="AH60" s="54"/>
      <c r="AI60" s="11"/>
      <c r="AR60" s="11"/>
    </row>
    <row r="61" spans="1:44">
      <c r="A61" s="455">
        <v>2010</v>
      </c>
      <c r="B61" s="440">
        <f t="shared" si="21"/>
        <v>2014</v>
      </c>
      <c r="C61" s="458">
        <f>LN(VLOOKUP($A61,'Brd Link'!$A$12:$E$60,4))</f>
        <v>7.4025896323361646</v>
      </c>
      <c r="D61" s="458">
        <f>VLOOKUP($A61,'Brd Tbl'!$A$8:$AX$64,12)</f>
        <v>9.5093676168778956</v>
      </c>
      <c r="E61" s="461">
        <v>48</v>
      </c>
      <c r="F61" s="461">
        <v>46</v>
      </c>
      <c r="G61" s="462">
        <v>5.6576223410996089</v>
      </c>
      <c r="H61" s="462">
        <v>0.55050266954150184</v>
      </c>
      <c r="I61" s="463">
        <v>0.1201640552536084</v>
      </c>
      <c r="J61" s="461">
        <v>9.732767695220911</v>
      </c>
      <c r="K61" s="461">
        <v>1.2500561235430927</v>
      </c>
      <c r="L61" s="461">
        <v>0.31330917799899449</v>
      </c>
      <c r="M61" s="481">
        <v>1.6022086760887186</v>
      </c>
      <c r="N61" s="458">
        <f t="shared" si="22"/>
        <v>-0.22340007834301545</v>
      </c>
      <c r="O61" s="487">
        <f t="shared" si="23"/>
        <v>4.9907595003665442E-2</v>
      </c>
      <c r="P61" s="465">
        <f>$J61</f>
        <v>9.732767695220911</v>
      </c>
      <c r="Q61" s="440">
        <f t="shared" si="19"/>
        <v>8.0859829468835827</v>
      </c>
      <c r="R61" s="440">
        <f t="shared" si="24"/>
        <v>11.379552443558239</v>
      </c>
      <c r="S61" s="466">
        <f>EXP(D61)*C61-$E$61</f>
        <v>99779.353327640973</v>
      </c>
      <c r="T61" s="440">
        <f t="shared" si="25"/>
        <v>9955919350.4822178</v>
      </c>
      <c r="U61" s="466">
        <f t="shared" si="26"/>
        <v>16861.154336907606</v>
      </c>
      <c r="V61" s="467">
        <f t="shared" si="27"/>
        <v>3248.6114792676776</v>
      </c>
      <c r="W61" s="467">
        <f t="shared" si="28"/>
        <v>87513.858578467654</v>
      </c>
      <c r="X61" s="468">
        <f t="shared" si="29"/>
        <v>0.25032069991834716</v>
      </c>
      <c r="Y61" s="468">
        <f t="shared" si="30"/>
        <v>0.25032069991834716</v>
      </c>
      <c r="Z61" s="441">
        <f t="shared" si="31"/>
        <v>7.4025896323361646</v>
      </c>
      <c r="AA61" s="471">
        <f t="shared" si="32"/>
        <v>9.7234609111997656</v>
      </c>
      <c r="AB61" s="441">
        <f t="shared" si="33"/>
        <v>9.5093676168778956</v>
      </c>
      <c r="AC61" s="799" t="s">
        <v>476</v>
      </c>
      <c r="AD61" s="435">
        <f t="shared" si="34"/>
        <v>8.0766761628624373</v>
      </c>
      <c r="AE61" s="441">
        <f t="shared" si="35"/>
        <v>11.370245659537094</v>
      </c>
      <c r="AF61" s="440"/>
      <c r="AH61" s="54"/>
      <c r="AI61" s="11"/>
    </row>
    <row r="62" spans="1:44">
      <c r="A62" s="455"/>
      <c r="B62" s="440"/>
      <c r="C62" s="458"/>
      <c r="D62" s="458"/>
      <c r="E62" s="461"/>
      <c r="F62" s="461"/>
      <c r="G62" s="462"/>
      <c r="H62" s="462"/>
      <c r="I62" s="461"/>
      <c r="J62" s="461"/>
      <c r="K62" s="461"/>
      <c r="L62" s="461"/>
      <c r="M62" s="464"/>
      <c r="N62" s="458"/>
      <c r="O62" s="440"/>
      <c r="P62" s="465"/>
      <c r="Q62" s="440"/>
      <c r="R62" s="440"/>
      <c r="S62" s="466"/>
      <c r="T62" s="440"/>
      <c r="U62" s="466"/>
      <c r="V62" s="467"/>
      <c r="W62" s="467"/>
      <c r="X62" s="469"/>
      <c r="Y62" s="469"/>
      <c r="Z62" s="471"/>
      <c r="AA62" s="471"/>
      <c r="AB62" s="473"/>
      <c r="AC62" s="433"/>
      <c r="AD62" s="435"/>
      <c r="AE62" s="441"/>
      <c r="AF62" s="440"/>
      <c r="AH62" s="54"/>
      <c r="AI62" s="11"/>
    </row>
    <row r="63" spans="1:44">
      <c r="A63" s="455">
        <v>2011</v>
      </c>
      <c r="B63" s="440">
        <f>A63+4</f>
        <v>2015</v>
      </c>
      <c r="C63" s="458">
        <f>LN(VLOOKUP($A63,'Brd Link'!$A$12:$E$60,4))</f>
        <v>7.4025896323361646</v>
      </c>
      <c r="D63" s="458"/>
      <c r="E63" s="461">
        <v>49</v>
      </c>
      <c r="F63" s="461">
        <v>47</v>
      </c>
      <c r="G63" s="462">
        <v>5.6253939693917916</v>
      </c>
      <c r="H63" s="462">
        <v>0.55359909779500716</v>
      </c>
      <c r="I63" s="463">
        <v>0.11762138629268924</v>
      </c>
      <c r="J63" s="461">
        <v>9.7234609111997656</v>
      </c>
      <c r="K63" s="461">
        <v>1.237097519428449</v>
      </c>
      <c r="L63" s="461">
        <v>0.32034042206553992</v>
      </c>
      <c r="M63" s="462">
        <v>1.5705290621890236</v>
      </c>
      <c r="N63" s="458">
        <f>D63-$E$63</f>
        <v>-49</v>
      </c>
      <c r="O63" s="470">
        <f>N63^2</f>
        <v>2401</v>
      </c>
      <c r="P63" s="465">
        <f>J63</f>
        <v>9.7234609111997656</v>
      </c>
      <c r="Q63" s="440">
        <f>$P63-(SQRT(O66)*Q66)</f>
        <v>8.093037941173213</v>
      </c>
      <c r="R63" s="440">
        <f>$P63+SQRT(O66)*Q66</f>
        <v>11.353883881226318</v>
      </c>
      <c r="S63" s="466">
        <f>EXP(D63)-$E$63</f>
        <v>-48</v>
      </c>
      <c r="T63" s="440">
        <f>S63^2</f>
        <v>2304</v>
      </c>
      <c r="U63" s="485">
        <f>EXP(P63)</f>
        <v>16704.959179860693</v>
      </c>
      <c r="V63" s="899">
        <f>EXP(Q63)</f>
        <v>3271.6114516420703</v>
      </c>
      <c r="W63" s="899">
        <f>EXP(R63)</f>
        <v>85296.088892447762</v>
      </c>
      <c r="X63" s="468"/>
      <c r="Y63" s="468"/>
      <c r="Z63" s="471">
        <f>C63</f>
        <v>7.4025896323361646</v>
      </c>
      <c r="AA63" s="471">
        <f>(+G63+H63*C63)</f>
        <v>9.7234609111997656</v>
      </c>
      <c r="AB63" s="473"/>
      <c r="AC63" s="586" t="s">
        <v>477</v>
      </c>
      <c r="AD63" s="435">
        <f>AA63-SQRT(O66)*Q66</f>
        <v>8.093037941173213</v>
      </c>
      <c r="AE63" s="441">
        <f>AA63+SQRT(O66)*Q66</f>
        <v>11.353883881226318</v>
      </c>
      <c r="AF63" s="475">
        <f>AA63</f>
        <v>9.7234609111997656</v>
      </c>
      <c r="AH63" s="54"/>
      <c r="AI63" s="11"/>
    </row>
    <row r="64" spans="1:44">
      <c r="A64" s="178"/>
      <c r="B64" s="459"/>
      <c r="C64" s="460"/>
      <c r="D64" s="459"/>
      <c r="E64" s="42"/>
      <c r="F64" s="42"/>
      <c r="G64" s="42"/>
      <c r="H64" s="42"/>
      <c r="I64" s="42"/>
      <c r="J64" s="42"/>
      <c r="K64" s="42"/>
      <c r="L64" s="42"/>
      <c r="M64" s="173"/>
      <c r="N64" s="180"/>
      <c r="O64" s="42"/>
      <c r="P64" s="42"/>
      <c r="Q64" s="42"/>
      <c r="R64" s="42"/>
      <c r="S64" s="42"/>
      <c r="T64" s="42"/>
      <c r="U64" s="42"/>
      <c r="V64" s="42"/>
      <c r="W64" s="42"/>
      <c r="X64" s="49"/>
      <c r="Y64" s="49"/>
      <c r="Z64" s="27"/>
      <c r="AA64" s="49"/>
      <c r="AB64" s="49"/>
      <c r="AC64" s="49"/>
      <c r="AD64" s="42"/>
      <c r="AE64" s="49"/>
    </row>
    <row r="65" spans="1:26">
      <c r="A65" s="23"/>
      <c r="C65" s="10"/>
      <c r="E65" s="54" t="s">
        <v>184</v>
      </c>
      <c r="F65" s="440">
        <f>F61</f>
        <v>46</v>
      </c>
      <c r="M65" s="220" t="s">
        <v>185</v>
      </c>
      <c r="N65" s="10"/>
      <c r="O65" s="924">
        <f>AVERAGE(INDEX(O$13:O$62,COUNT(O$13:O$62)-1,0):INDEX(O$13:O$62,(COUNT(O$13:O$62)-(COUNT(O$13:O$62)-1)),0))</f>
        <v>1.6022086760887186</v>
      </c>
      <c r="P65" s="54" t="s">
        <v>186</v>
      </c>
      <c r="Q65" s="440">
        <f>VLOOKUP(F65,ttab!$A$4:$G$44,4)</f>
        <v>1.3009999999999999</v>
      </c>
      <c r="X65" s="47"/>
      <c r="Y65" s="227"/>
      <c r="Z65" s="23"/>
    </row>
    <row r="66" spans="1:26">
      <c r="A66" s="23"/>
      <c r="E66" s="54" t="s">
        <v>184</v>
      </c>
      <c r="F66" s="440">
        <f>F63</f>
        <v>47</v>
      </c>
      <c r="M66" s="220" t="s">
        <v>188</v>
      </c>
      <c r="N66" s="10"/>
      <c r="O66" s="458">
        <f>AVERAGEA(O13:O62)</f>
        <v>1.5705290621890236</v>
      </c>
      <c r="P66" s="54" t="s">
        <v>186</v>
      </c>
      <c r="Q66" s="440">
        <f>VLOOKUP(F66,ttab!$A$4:$G$44,4)</f>
        <v>1.3009999999999999</v>
      </c>
      <c r="S66" s="54" t="s">
        <v>189</v>
      </c>
      <c r="T66" s="440">
        <f>AVERAGEA(T13:T62)</f>
        <v>1513520958397.0273</v>
      </c>
      <c r="W66" t="s">
        <v>211</v>
      </c>
      <c r="X66" s="486">
        <f>AVERAGEA(X13:X62)</f>
        <v>1.8818202440295966</v>
      </c>
      <c r="Y66" s="486">
        <f>AVERAGEA(Y13:Y62)</f>
        <v>2.4344090975966277</v>
      </c>
      <c r="Z66" s="23"/>
    </row>
    <row r="67" spans="1:26">
      <c r="A67" s="42"/>
      <c r="B67" s="42"/>
      <c r="C67" s="42"/>
      <c r="D67" s="42"/>
      <c r="E67" s="42"/>
      <c r="F67" s="42"/>
      <c r="G67" s="42"/>
      <c r="H67" s="42"/>
      <c r="I67" s="42"/>
      <c r="J67" s="42"/>
      <c r="K67" s="42"/>
      <c r="L67" s="42"/>
      <c r="M67" s="173"/>
      <c r="N67" s="180"/>
      <c r="O67" s="42"/>
      <c r="P67" s="42"/>
      <c r="Q67" s="42"/>
      <c r="R67" s="42"/>
      <c r="S67" s="42"/>
      <c r="T67" s="42"/>
      <c r="U67" s="42"/>
      <c r="V67" s="42"/>
      <c r="W67" s="42"/>
      <c r="X67" s="49"/>
      <c r="Y67" s="227"/>
    </row>
    <row r="68" spans="1:26">
      <c r="M68" s="147"/>
      <c r="N68" s="10"/>
    </row>
    <row r="69" spans="1:26" ht="15" customHeight="1">
      <c r="M69" s="147"/>
      <c r="N69" s="10"/>
    </row>
    <row r="70" spans="1:26" ht="15" customHeight="1">
      <c r="M70" s="147"/>
      <c r="N70" s="10"/>
    </row>
    <row r="71" spans="1:26" ht="15" customHeight="1">
      <c r="M71" s="147"/>
      <c r="N71" s="10"/>
      <c r="O71" s="926"/>
    </row>
    <row r="72" spans="1:26" ht="15" customHeight="1">
      <c r="M72" s="147"/>
      <c r="N72" s="10"/>
      <c r="O72" s="925"/>
    </row>
    <row r="73" spans="1:26" ht="15" customHeight="1">
      <c r="M73" s="147"/>
      <c r="N73" s="10"/>
      <c r="O73" s="786"/>
    </row>
    <row r="74" spans="1:26" ht="15" customHeight="1">
      <c r="M74" s="147"/>
      <c r="N74" s="10"/>
      <c r="O74" s="925"/>
    </row>
    <row r="75" spans="1:26" ht="15" customHeight="1">
      <c r="M75" s="147"/>
      <c r="N75" s="10"/>
    </row>
    <row r="76" spans="1:26" ht="15" customHeight="1">
      <c r="M76" s="147"/>
      <c r="N76" s="10"/>
    </row>
    <row r="77" spans="1:26" ht="15" customHeight="1"/>
    <row r="78" spans="1:26" ht="15" customHeight="1"/>
    <row r="79" spans="1:26" ht="15" customHeight="1">
      <c r="C79" s="327"/>
    </row>
    <row r="80" spans="1:26" ht="15" customHeight="1"/>
    <row r="81" ht="15" customHeight="1"/>
    <row r="82" ht="15" customHeight="1"/>
    <row r="83" ht="15" customHeight="1"/>
    <row r="84" ht="15" customHeight="1"/>
    <row r="85" ht="15" customHeight="1"/>
    <row r="86" ht="15" customHeight="1"/>
    <row r="87" ht="15" customHeight="1"/>
    <row r="88" ht="15" customHeight="1"/>
    <row r="89" ht="15" customHeight="1"/>
  </sheetData>
  <sortState ref="A13:AE61">
    <sortCondition ref="B13"/>
  </sortState>
  <phoneticPr fontId="60" type="noConversion"/>
  <pageMargins left="0.55000000000000004" right="0.50800000000000001" top="0.5" bottom="1" header="0.5" footer="0.5"/>
  <pageSetup scale="37" orientation="portrait" horizontalDpi="300" verticalDpi="300" r:id="rId1"/>
  <headerFooter alignWithMargins="0"/>
  <rowBreaks count="1" manualBreakCount="1">
    <brk id="89" max="16383" man="1"/>
  </rowBreaks>
  <drawing r:id="rId2"/>
  <legacyDrawing r:id="rId3"/>
  <controls>
    <mc:AlternateContent xmlns:mc="http://schemas.openxmlformats.org/markup-compatibility/2006">
      <mc:Choice Requires="x14">
        <control shapeId="15391" r:id="rId4" name="CommandButton2">
          <controlPr defaultSize="0" autoLine="0" r:id="rId5">
            <anchor moveWithCells="1">
              <from>
                <xdr:col>14</xdr:col>
                <xdr:colOff>28575</xdr:colOff>
                <xdr:row>2</xdr:row>
                <xdr:rowOff>0</xdr:rowOff>
              </from>
              <to>
                <xdr:col>17</xdr:col>
                <xdr:colOff>457200</xdr:colOff>
                <xdr:row>6</xdr:row>
                <xdr:rowOff>28575</xdr:rowOff>
              </to>
            </anchor>
          </controlPr>
        </control>
      </mc:Choice>
      <mc:Fallback>
        <control shapeId="15391" r:id="rId4" name="CommandButton2"/>
      </mc:Fallback>
    </mc:AlternateContent>
    <mc:AlternateContent xmlns:mc="http://schemas.openxmlformats.org/markup-compatibility/2006">
      <mc:Choice Requires="x14">
        <control shapeId="15387" r:id="rId6" name="CommandButton1">
          <controlPr defaultSize="0" autoLine="0" r:id="rId7">
            <anchor moveWithCells="1">
              <from>
                <xdr:col>8</xdr:col>
                <xdr:colOff>476250</xdr:colOff>
                <xdr:row>2</xdr:row>
                <xdr:rowOff>28575</xdr:rowOff>
              </from>
              <to>
                <xdr:col>13</xdr:col>
                <xdr:colOff>57150</xdr:colOff>
                <xdr:row>6</xdr:row>
                <xdr:rowOff>57150</xdr:rowOff>
              </to>
            </anchor>
          </controlPr>
        </control>
      </mc:Choice>
      <mc:Fallback>
        <control shapeId="15387" r:id="rId6" name="Command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19"/>
  <dimension ref="A1:AI93"/>
  <sheetViews>
    <sheetView zoomScale="75" workbookViewId="0">
      <pane ySplit="11" topLeftCell="A37" activePane="bottomLeft" state="frozen"/>
      <selection activeCell="W48" sqref="W48"/>
      <selection pane="bottomLeft" activeCell="U58" sqref="U58"/>
    </sheetView>
  </sheetViews>
  <sheetFormatPr defaultColWidth="9.6640625" defaultRowHeight="15"/>
  <cols>
    <col min="1" max="1" width="6" customWidth="1"/>
    <col min="2" max="2" width="6.21875" customWidth="1"/>
    <col min="3" max="3" width="10.88671875" customWidth="1"/>
    <col min="4" max="4" width="10.77734375" customWidth="1"/>
    <col min="5" max="5" width="4.77734375" customWidth="1"/>
    <col min="6" max="6" width="4.6640625" customWidth="1"/>
    <col min="7" max="7" width="9.6640625" customWidth="1"/>
    <col min="8" max="8" width="9.21875" customWidth="1"/>
    <col min="9" max="9" width="13.109375" customWidth="1"/>
    <col min="15" max="15" width="12.5546875" bestFit="1" customWidth="1"/>
    <col min="16" max="16" width="10.44140625" customWidth="1"/>
    <col min="20" max="20" width="13.44140625" bestFit="1" customWidth="1"/>
    <col min="23" max="23" width="10.6640625" customWidth="1"/>
    <col min="24" max="24" width="12.109375" bestFit="1" customWidth="1"/>
    <col min="25" max="25" width="12.109375" customWidth="1"/>
    <col min="29" max="29" width="6.6640625" customWidth="1"/>
  </cols>
  <sheetData>
    <row r="1" spans="1:33">
      <c r="A1" t="s">
        <v>0</v>
      </c>
      <c r="B1" s="440" t="str">
        <f ca="1">CELL("filename",B2)</f>
        <v>O:\DCF\SALMON\FORECAST\2015\[2015_Copper River Wild Sockeye forecast_FINAL.xlsm]ln03xln02</v>
      </c>
      <c r="G1" t="s">
        <v>219</v>
      </c>
    </row>
    <row r="2" spans="1:33">
      <c r="G2" s="242" t="s">
        <v>154</v>
      </c>
      <c r="H2" s="148" t="s">
        <v>220</v>
      </c>
    </row>
    <row r="3" spans="1:33">
      <c r="G3" s="242" t="s">
        <v>155</v>
      </c>
      <c r="H3" s="148" t="s">
        <v>210</v>
      </c>
    </row>
    <row r="4" spans="1:33">
      <c r="G4" s="54" t="s">
        <v>253</v>
      </c>
      <c r="H4" s="13">
        <v>4</v>
      </c>
    </row>
    <row r="5" spans="1:33">
      <c r="B5" s="13"/>
    </row>
    <row r="6" spans="1:33">
      <c r="B6" s="13"/>
    </row>
    <row r="8" spans="1:33">
      <c r="AA8" t="s">
        <v>156</v>
      </c>
    </row>
    <row r="9" spans="1:33">
      <c r="A9" s="123"/>
      <c r="B9" s="123"/>
      <c r="C9" s="121" t="s">
        <v>157</v>
      </c>
      <c r="D9" s="126"/>
      <c r="E9" s="121"/>
      <c r="F9" s="119"/>
      <c r="G9" s="119"/>
      <c r="H9" s="119" t="s">
        <v>158</v>
      </c>
      <c r="I9" s="119"/>
      <c r="J9" s="119"/>
      <c r="K9" s="119"/>
      <c r="L9" s="119"/>
      <c r="M9" s="126"/>
      <c r="N9" s="121" t="s">
        <v>159</v>
      </c>
      <c r="O9" s="119"/>
      <c r="P9" s="119"/>
      <c r="Q9" s="119"/>
      <c r="R9" s="126"/>
      <c r="S9" s="121" t="s">
        <v>160</v>
      </c>
      <c r="T9" s="119"/>
      <c r="U9" s="119"/>
      <c r="V9" s="119"/>
      <c r="W9" s="126"/>
      <c r="X9" s="122" t="s">
        <v>109</v>
      </c>
      <c r="Y9" s="415" t="s">
        <v>329</v>
      </c>
      <c r="Z9" s="164" t="s">
        <v>161</v>
      </c>
      <c r="AA9" s="164" t="s">
        <v>162</v>
      </c>
      <c r="AB9" s="164" t="s">
        <v>163</v>
      </c>
      <c r="AC9" s="164" t="s">
        <v>164</v>
      </c>
      <c r="AD9" s="158" t="s">
        <v>25</v>
      </c>
      <c r="AE9" s="159"/>
    </row>
    <row r="10" spans="1:33">
      <c r="A10" s="100" t="s">
        <v>23</v>
      </c>
      <c r="B10" s="139" t="s">
        <v>29</v>
      </c>
      <c r="C10" s="209" t="s">
        <v>165</v>
      </c>
      <c r="D10" s="209" t="s">
        <v>166</v>
      </c>
      <c r="E10" s="123"/>
      <c r="F10" s="123"/>
      <c r="G10" s="123"/>
      <c r="H10" s="123"/>
      <c r="I10" s="209" t="s">
        <v>167</v>
      </c>
      <c r="J10" s="209" t="s">
        <v>168</v>
      </c>
      <c r="K10" s="209" t="s">
        <v>167</v>
      </c>
      <c r="L10" s="123"/>
      <c r="M10" s="226" t="s">
        <v>169</v>
      </c>
      <c r="N10" s="123"/>
      <c r="O10" s="123"/>
      <c r="P10" s="122" t="s">
        <v>24</v>
      </c>
      <c r="Q10" s="122" t="s">
        <v>170</v>
      </c>
      <c r="R10" s="122" t="s">
        <v>171</v>
      </c>
      <c r="S10" s="123"/>
      <c r="T10" s="123"/>
      <c r="U10" s="122" t="s">
        <v>24</v>
      </c>
      <c r="V10" s="122" t="s">
        <v>170</v>
      </c>
      <c r="W10" s="122" t="s">
        <v>171</v>
      </c>
      <c r="X10" s="100" t="s">
        <v>115</v>
      </c>
      <c r="Y10" s="416" t="s">
        <v>323</v>
      </c>
      <c r="Z10" s="139"/>
      <c r="AA10" s="122" t="s">
        <v>172</v>
      </c>
      <c r="AB10" s="122" t="s">
        <v>112</v>
      </c>
      <c r="AC10" s="122" t="s">
        <v>29</v>
      </c>
      <c r="AD10" s="164" t="s">
        <v>173</v>
      </c>
      <c r="AE10" s="164" t="s">
        <v>174</v>
      </c>
      <c r="AG10" t="s">
        <v>221</v>
      </c>
    </row>
    <row r="11" spans="1:33" ht="16.5">
      <c r="A11" s="125" t="s">
        <v>27</v>
      </c>
      <c r="B11" s="27" t="s">
        <v>27</v>
      </c>
      <c r="C11" s="163" t="s">
        <v>161</v>
      </c>
      <c r="D11" s="214" t="s">
        <v>240</v>
      </c>
      <c r="E11" s="188" t="s">
        <v>175</v>
      </c>
      <c r="F11" s="188" t="s">
        <v>176</v>
      </c>
      <c r="G11" s="214" t="s">
        <v>152</v>
      </c>
      <c r="H11" s="215" t="s">
        <v>177</v>
      </c>
      <c r="I11" s="216" t="s">
        <v>177</v>
      </c>
      <c r="J11" s="214" t="s">
        <v>239</v>
      </c>
      <c r="K11" s="188" t="s">
        <v>168</v>
      </c>
      <c r="L11" s="188" t="s">
        <v>241</v>
      </c>
      <c r="M11" s="217" t="s">
        <v>178</v>
      </c>
      <c r="N11" s="188" t="s">
        <v>242</v>
      </c>
      <c r="O11" s="217" t="s">
        <v>243</v>
      </c>
      <c r="P11" s="214" t="s">
        <v>239</v>
      </c>
      <c r="Q11" s="188" t="s">
        <v>244</v>
      </c>
      <c r="R11" s="188" t="s">
        <v>244</v>
      </c>
      <c r="S11" s="188" t="s">
        <v>242</v>
      </c>
      <c r="T11" s="217" t="s">
        <v>243</v>
      </c>
      <c r="U11" s="214" t="s">
        <v>239</v>
      </c>
      <c r="V11" s="188" t="s">
        <v>244</v>
      </c>
      <c r="W11" s="188" t="s">
        <v>244</v>
      </c>
      <c r="X11" s="234" t="s">
        <v>245</v>
      </c>
      <c r="Y11" s="555" t="s">
        <v>115</v>
      </c>
      <c r="Z11" s="125" t="s">
        <v>200</v>
      </c>
      <c r="AA11" s="125" t="s">
        <v>179</v>
      </c>
      <c r="AB11" s="125" t="s">
        <v>179</v>
      </c>
      <c r="AC11" s="125" t="s">
        <v>27</v>
      </c>
      <c r="AD11" s="164" t="s">
        <v>170</v>
      </c>
      <c r="AE11" s="164" t="s">
        <v>171</v>
      </c>
      <c r="AF11" s="164" t="s">
        <v>111</v>
      </c>
    </row>
    <row r="12" spans="1:33">
      <c r="A12" s="36"/>
      <c r="B12" s="31"/>
      <c r="C12" s="31"/>
      <c r="D12" s="31"/>
      <c r="E12" s="31"/>
      <c r="F12" s="31"/>
      <c r="G12" s="31"/>
      <c r="H12" s="31"/>
      <c r="I12" s="31"/>
      <c r="J12" s="31"/>
      <c r="K12" s="31"/>
      <c r="L12" s="31"/>
      <c r="M12" s="31"/>
      <c r="N12" s="31"/>
      <c r="O12" s="31"/>
      <c r="P12" s="31"/>
      <c r="Q12" s="31"/>
      <c r="R12" s="31"/>
      <c r="S12" s="31"/>
      <c r="T12" s="31"/>
      <c r="U12" s="31"/>
      <c r="V12" s="31"/>
      <c r="W12" s="31"/>
      <c r="X12" s="46"/>
      <c r="Y12" s="46"/>
      <c r="Z12" s="123"/>
      <c r="AA12" s="123"/>
      <c r="AB12" s="123"/>
      <c r="AC12" s="123"/>
      <c r="AD12" s="36"/>
      <c r="AE12" s="46"/>
    </row>
    <row r="13" spans="1:33">
      <c r="A13" s="455">
        <v>1963</v>
      </c>
      <c r="B13" s="440">
        <f t="shared" ref="B13:B56" si="0">A13+$H$4</f>
        <v>1967</v>
      </c>
      <c r="C13" s="458">
        <f>LN(VLOOKUP($A13,'Brd Link'!$A$12:$E$60,3))</f>
        <v>7.448730423457893</v>
      </c>
      <c r="D13" s="458">
        <f>VLOOKUP($A13,'Brd Tbl'!$A$8:$AX$64,12)</f>
        <v>8.3513880672186342</v>
      </c>
      <c r="E13" s="461">
        <v>43</v>
      </c>
      <c r="F13" s="461">
        <v>41</v>
      </c>
      <c r="G13" s="462">
        <v>2.8082484409622159</v>
      </c>
      <c r="H13" s="462">
        <v>0.90064116461074817</v>
      </c>
      <c r="I13" s="463">
        <v>0.11067909384185654</v>
      </c>
      <c r="J13" s="461">
        <v>9.5168816844168447</v>
      </c>
      <c r="K13" s="461">
        <v>0.91816404779601579</v>
      </c>
      <c r="L13" s="461">
        <v>0.61759953001773693</v>
      </c>
      <c r="M13" s="462">
        <v>0.92029544672041452</v>
      </c>
      <c r="N13" s="458">
        <f t="shared" ref="N13:N56" si="1">D13-J13</f>
        <v>-1.1654936171982104</v>
      </c>
      <c r="O13" s="440">
        <f t="shared" ref="O13:O56" si="2">N13^2</f>
        <v>1.3583753717297686</v>
      </c>
      <c r="P13" s="465">
        <f t="shared" ref="P13:P56" si="3">J13</f>
        <v>9.5168816844168447</v>
      </c>
      <c r="Q13" s="440">
        <f t="shared" ref="Q13:Q34" si="4">$P13-SQRT($O$60)*$Q$60</f>
        <v>8.2462880254039028</v>
      </c>
      <c r="R13" s="440">
        <f t="shared" ref="R13:R56" si="5">$P13+SQRT($O$60)*$Q$60</f>
        <v>10.787475343429787</v>
      </c>
      <c r="S13" s="466">
        <f t="shared" ref="S13:S34" si="6">EXP(D13)-U13</f>
        <v>-9351.1193871346695</v>
      </c>
      <c r="T13" s="440">
        <f t="shared" ref="T13:T56" si="7">S13^2</f>
        <v>87443433.792445883</v>
      </c>
      <c r="U13" s="466">
        <f t="shared" ref="U13:U56" si="8">EXP(P13)</f>
        <v>13587.175982579462</v>
      </c>
      <c r="V13" s="467">
        <f t="shared" ref="V13:V56" si="9">EXP(Q13)</f>
        <v>3813.4441089893871</v>
      </c>
      <c r="W13" s="467">
        <f t="shared" ref="W13:W56" si="10">EXP(R13)</f>
        <v>48410.661309130504</v>
      </c>
      <c r="X13" s="468">
        <f t="shared" ref="X13:X56" si="11">(+U13-EXP(D13))/(EXP(D13))</f>
        <v>2.2075057725126523</v>
      </c>
      <c r="Y13" s="468">
        <f t="shared" ref="Y13:Y56" si="12">ABS(X13)</f>
        <v>2.2075057725126523</v>
      </c>
      <c r="Z13" s="441">
        <f t="shared" ref="Z13:Z56" si="13">C13</f>
        <v>7.448730423457893</v>
      </c>
      <c r="AA13" s="471">
        <f t="shared" ref="AA13:AA56" si="14">(+G$58+H$58*C13)</f>
        <v>9.4609471738874582</v>
      </c>
      <c r="AB13" s="441">
        <f t="shared" ref="AB13:AB56" si="15">D13</f>
        <v>8.3513880672186342</v>
      </c>
      <c r="AC13" s="802">
        <f>ln03xln11!B13-1900</f>
        <v>66</v>
      </c>
      <c r="AD13" s="435">
        <f t="shared" ref="AD13:AD56" si="16">AA13-SQRT($O$60)*$Q$60</f>
        <v>8.1903535148745163</v>
      </c>
      <c r="AE13" s="441">
        <f t="shared" ref="AE13:AE56" si="17">AA13+SQRT($O$60)*$Q$60</f>
        <v>10.7315408329004</v>
      </c>
      <c r="AF13" s="440"/>
    </row>
    <row r="14" spans="1:33">
      <c r="A14" s="455">
        <v>1965</v>
      </c>
      <c r="B14" s="440">
        <f t="shared" si="0"/>
        <v>1969</v>
      </c>
      <c r="C14" s="458">
        <f>LN(VLOOKUP($A14,'Brd Link'!$A$12:$E$60,3))</f>
        <v>6.4037444654273541</v>
      </c>
      <c r="D14" s="458">
        <f>VLOOKUP($A14,'Brd Tbl'!$A$8:$AX$64,12)</f>
        <v>5.9381241906021609</v>
      </c>
      <c r="E14" s="461">
        <v>43</v>
      </c>
      <c r="F14" s="461">
        <v>41</v>
      </c>
      <c r="G14" s="462">
        <v>3.4974635498079483</v>
      </c>
      <c r="H14" s="462">
        <v>0.82654909941210486</v>
      </c>
      <c r="I14" s="463">
        <v>0.10364377244807557</v>
      </c>
      <c r="J14" s="461">
        <v>8.7904727705721797</v>
      </c>
      <c r="K14" s="461">
        <v>0.83460380240335896</v>
      </c>
      <c r="L14" s="461">
        <v>0.60802717612540702</v>
      </c>
      <c r="M14" s="462">
        <v>0.76267877114071214</v>
      </c>
      <c r="N14" s="458">
        <f t="shared" si="1"/>
        <v>-2.8523485799700188</v>
      </c>
      <c r="O14" s="440">
        <f t="shared" si="2"/>
        <v>8.1358924216569832</v>
      </c>
      <c r="P14" s="465">
        <f t="shared" si="3"/>
        <v>8.7904727705721797</v>
      </c>
      <c r="Q14" s="440">
        <f t="shared" si="4"/>
        <v>7.5198791115592369</v>
      </c>
      <c r="R14" s="440">
        <f t="shared" si="5"/>
        <v>10.061066429585122</v>
      </c>
      <c r="S14" s="466">
        <f t="shared" si="6"/>
        <v>-6192.1152644656477</v>
      </c>
      <c r="T14" s="440">
        <f t="shared" si="7"/>
        <v>38342291.448428474</v>
      </c>
      <c r="U14" s="466">
        <f t="shared" si="8"/>
        <v>6571.3381765057311</v>
      </c>
      <c r="V14" s="467">
        <f t="shared" si="9"/>
        <v>1844.3443206669501</v>
      </c>
      <c r="W14" s="467">
        <f t="shared" si="10"/>
        <v>23413.461871580475</v>
      </c>
      <c r="X14" s="468">
        <f t="shared" si="11"/>
        <v>16.328431294286233</v>
      </c>
      <c r="Y14" s="468">
        <f t="shared" si="12"/>
        <v>16.328431294286233</v>
      </c>
      <c r="Z14" s="441">
        <f t="shared" si="13"/>
        <v>6.4037444654273541</v>
      </c>
      <c r="AA14" s="471">
        <f t="shared" si="14"/>
        <v>8.4967575521820997</v>
      </c>
      <c r="AB14" s="441">
        <f t="shared" si="15"/>
        <v>5.9381241906021609</v>
      </c>
      <c r="AC14" s="802">
        <f t="shared" ref="AC14:AC41" si="18">B14-1900</f>
        <v>69</v>
      </c>
      <c r="AD14" s="435">
        <f t="shared" si="16"/>
        <v>7.226163893169157</v>
      </c>
      <c r="AE14" s="441">
        <f t="shared" si="17"/>
        <v>9.7673512111950416</v>
      </c>
      <c r="AF14" s="440"/>
    </row>
    <row r="15" spans="1:33">
      <c r="A15" s="455">
        <v>1966</v>
      </c>
      <c r="B15" s="440">
        <f t="shared" si="0"/>
        <v>1970</v>
      </c>
      <c r="C15" s="458">
        <f>LN(VLOOKUP($A15,'Brd Link'!$A$12:$E$60,3))</f>
        <v>6.8380104679207978</v>
      </c>
      <c r="D15" s="458">
        <f>VLOOKUP($A15,'Brd Tbl'!$A$8:$AX$64,12)</f>
        <v>8.3390313888342202</v>
      </c>
      <c r="E15" s="461">
        <v>43</v>
      </c>
      <c r="F15" s="461">
        <v>41</v>
      </c>
      <c r="G15" s="462">
        <v>2.748232290773748</v>
      </c>
      <c r="H15" s="462">
        <v>0.90602190980577801</v>
      </c>
      <c r="I15" s="463">
        <v>0.11390920351201472</v>
      </c>
      <c r="J15" s="461">
        <v>8.9436195941912509</v>
      </c>
      <c r="K15" s="461">
        <v>0.93076950295034333</v>
      </c>
      <c r="L15" s="461">
        <v>0.60676915187077796</v>
      </c>
      <c r="M15" s="462">
        <v>0.94338494610815737</v>
      </c>
      <c r="N15" s="458">
        <f t="shared" si="1"/>
        <v>-0.60458820535703062</v>
      </c>
      <c r="O15" s="440">
        <f t="shared" si="2"/>
        <v>0.36552689805683503</v>
      </c>
      <c r="P15" s="465">
        <f t="shared" si="3"/>
        <v>8.9436195941912509</v>
      </c>
      <c r="Q15" s="440">
        <f t="shared" si="4"/>
        <v>7.6730259351783081</v>
      </c>
      <c r="R15" s="440">
        <f t="shared" si="5"/>
        <v>10.214213253204193</v>
      </c>
      <c r="S15" s="466">
        <f t="shared" si="6"/>
        <v>-3474.8338674772012</v>
      </c>
      <c r="T15" s="440">
        <f t="shared" si="7"/>
        <v>12074470.406566564</v>
      </c>
      <c r="U15" s="466">
        <f t="shared" si="8"/>
        <v>7658.8689424705262</v>
      </c>
      <c r="V15" s="467">
        <f t="shared" si="9"/>
        <v>2149.5760920174107</v>
      </c>
      <c r="W15" s="467">
        <f t="shared" si="10"/>
        <v>27288.298235066362</v>
      </c>
      <c r="X15" s="468">
        <f t="shared" si="11"/>
        <v>0.83049826428205664</v>
      </c>
      <c r="Y15" s="468">
        <f t="shared" si="12"/>
        <v>0.83049826428205664</v>
      </c>
      <c r="Z15" s="441">
        <f t="shared" si="13"/>
        <v>6.8380104679207978</v>
      </c>
      <c r="AA15" s="471">
        <f t="shared" si="14"/>
        <v>8.897446929341573</v>
      </c>
      <c r="AB15" s="441">
        <f t="shared" si="15"/>
        <v>8.3390313888342202</v>
      </c>
      <c r="AC15" s="802">
        <f t="shared" si="18"/>
        <v>70</v>
      </c>
      <c r="AD15" s="435">
        <f t="shared" si="16"/>
        <v>7.6268532703286303</v>
      </c>
      <c r="AE15" s="441">
        <f t="shared" si="17"/>
        <v>10.168040588354515</v>
      </c>
      <c r="AF15" s="440"/>
    </row>
    <row r="16" spans="1:33">
      <c r="A16" s="455">
        <v>1967</v>
      </c>
      <c r="B16" s="440">
        <f t="shared" si="0"/>
        <v>1971</v>
      </c>
      <c r="C16" s="458">
        <f>LN(VLOOKUP($A16,'Brd Link'!$A$12:$E$60,3))</f>
        <v>6.9553531875465602</v>
      </c>
      <c r="D16" s="458">
        <f>VLOOKUP($A16,'Brd Tbl'!$A$8:$AX$64,12)</f>
        <v>7.7507051389466728</v>
      </c>
      <c r="E16" s="461">
        <v>43</v>
      </c>
      <c r="F16" s="461">
        <v>41</v>
      </c>
      <c r="G16" s="462">
        <v>2.9258217962867175</v>
      </c>
      <c r="H16" s="462">
        <v>0.88773366035930912</v>
      </c>
      <c r="I16" s="463">
        <v>0.11133607198584193</v>
      </c>
      <c r="J16" s="461">
        <v>9.100322940559213</v>
      </c>
      <c r="K16" s="461">
        <v>0.91282771281853814</v>
      </c>
      <c r="L16" s="461">
        <v>0.60794084764028355</v>
      </c>
      <c r="M16" s="462">
        <v>0.90952584582042162</v>
      </c>
      <c r="N16" s="458">
        <f t="shared" si="1"/>
        <v>-1.3496178016125402</v>
      </c>
      <c r="O16" s="440">
        <f t="shared" si="2"/>
        <v>1.8214682104294659</v>
      </c>
      <c r="P16" s="465">
        <f t="shared" si="3"/>
        <v>9.100322940559213</v>
      </c>
      <c r="Q16" s="440">
        <f t="shared" si="4"/>
        <v>7.8297292815462702</v>
      </c>
      <c r="R16" s="440">
        <f t="shared" si="5"/>
        <v>10.370916599572155</v>
      </c>
      <c r="S16" s="466">
        <f t="shared" si="6"/>
        <v>-6634.9751747018017</v>
      </c>
      <c r="T16" s="440">
        <f t="shared" si="7"/>
        <v>44022895.568909205</v>
      </c>
      <c r="U16" s="466">
        <f t="shared" si="8"/>
        <v>8958.1851977428087</v>
      </c>
      <c r="V16" s="467">
        <f t="shared" si="9"/>
        <v>2514.2486277772346</v>
      </c>
      <c r="W16" s="467">
        <f t="shared" si="10"/>
        <v>31917.719333908477</v>
      </c>
      <c r="X16" s="468">
        <f t="shared" si="11"/>
        <v>2.8559515105813946</v>
      </c>
      <c r="Y16" s="468">
        <f t="shared" si="12"/>
        <v>2.8559515105813946</v>
      </c>
      <c r="Z16" s="441">
        <f t="shared" si="13"/>
        <v>6.9553531875465602</v>
      </c>
      <c r="AA16" s="471">
        <f t="shared" si="14"/>
        <v>9.0057169319922075</v>
      </c>
      <c r="AB16" s="441">
        <f t="shared" si="15"/>
        <v>7.7507051389466728</v>
      </c>
      <c r="AC16" s="802">
        <f t="shared" si="18"/>
        <v>71</v>
      </c>
      <c r="AD16" s="435">
        <f t="shared" si="16"/>
        <v>7.7351232729792647</v>
      </c>
      <c r="AE16" s="441">
        <f t="shared" si="17"/>
        <v>10.276310591005149</v>
      </c>
      <c r="AF16" s="440"/>
    </row>
    <row r="17" spans="1:32">
      <c r="A17" s="455">
        <v>1968</v>
      </c>
      <c r="B17" s="440">
        <f t="shared" si="0"/>
        <v>1972</v>
      </c>
      <c r="C17" s="458">
        <f>LN(VLOOKUP($A17,'Brd Link'!$A$12:$E$60,3))</f>
        <v>7.3494702924758366</v>
      </c>
      <c r="D17" s="458">
        <f>VLOOKUP($A17,'Brd Tbl'!$A$8:$AX$64,12)</f>
        <v>9.7741257277297162</v>
      </c>
      <c r="E17" s="461">
        <v>43</v>
      </c>
      <c r="F17" s="461">
        <v>41</v>
      </c>
      <c r="G17" s="462">
        <v>2.502243857605853</v>
      </c>
      <c r="H17" s="462">
        <v>0.93135514398664088</v>
      </c>
      <c r="I17" s="463">
        <v>0.11268929006249799</v>
      </c>
      <c r="J17" s="461">
        <v>9.3472108200802246</v>
      </c>
      <c r="K17" s="461">
        <v>0.93292639767236796</v>
      </c>
      <c r="L17" s="461">
        <v>0.62490973238256364</v>
      </c>
      <c r="M17" s="462">
        <v>0.9476470521473076</v>
      </c>
      <c r="N17" s="458">
        <f t="shared" si="1"/>
        <v>0.42691490764949158</v>
      </c>
      <c r="O17" s="440">
        <f t="shared" si="2"/>
        <v>0.18225633837337393</v>
      </c>
      <c r="P17" s="465">
        <f t="shared" si="3"/>
        <v>9.3472108200802246</v>
      </c>
      <c r="Q17" s="440">
        <f t="shared" si="4"/>
        <v>8.0766171610672828</v>
      </c>
      <c r="R17" s="440">
        <f t="shared" si="5"/>
        <v>10.617804479093166</v>
      </c>
      <c r="S17" s="466">
        <f t="shared" si="6"/>
        <v>6106.3239259723196</v>
      </c>
      <c r="T17" s="440">
        <f t="shared" si="7"/>
        <v>37287191.888902001</v>
      </c>
      <c r="U17" s="466">
        <f t="shared" si="8"/>
        <v>11466.795843830099</v>
      </c>
      <c r="V17" s="467">
        <f t="shared" si="9"/>
        <v>3218.3277169371236</v>
      </c>
      <c r="W17" s="467">
        <f t="shared" si="10"/>
        <v>40855.81658825458</v>
      </c>
      <c r="X17" s="468">
        <f t="shared" si="11"/>
        <v>-0.34748092575260331</v>
      </c>
      <c r="Y17" s="468">
        <f t="shared" si="12"/>
        <v>0.34748092575260331</v>
      </c>
      <c r="Z17" s="441">
        <f t="shared" si="13"/>
        <v>7.3494702924758366</v>
      </c>
      <c r="AA17" s="471">
        <f t="shared" si="14"/>
        <v>9.3693616483533262</v>
      </c>
      <c r="AB17" s="441">
        <f t="shared" si="15"/>
        <v>9.7741257277297162</v>
      </c>
      <c r="AC17" s="802">
        <f t="shared" si="18"/>
        <v>72</v>
      </c>
      <c r="AD17" s="435">
        <f t="shared" si="16"/>
        <v>8.0987679893403843</v>
      </c>
      <c r="AE17" s="441">
        <f t="shared" si="17"/>
        <v>10.639955307366268</v>
      </c>
      <c r="AF17" s="440"/>
    </row>
    <row r="18" spans="1:32">
      <c r="A18" s="455">
        <v>1970</v>
      </c>
      <c r="B18" s="440">
        <f t="shared" si="0"/>
        <v>1974</v>
      </c>
      <c r="C18" s="458">
        <f>LN(VLOOKUP($A18,'Brd Link'!$A$12:$E$60,3))</f>
        <v>9.0377838664465919</v>
      </c>
      <c r="D18" s="458">
        <f>VLOOKUP($A18,'Brd Tbl'!$A$8:$AX$64,12)</f>
        <v>8.8651800515007348</v>
      </c>
      <c r="E18" s="461">
        <v>43</v>
      </c>
      <c r="F18" s="461">
        <v>41</v>
      </c>
      <c r="G18" s="462">
        <v>2.5696766563321045</v>
      </c>
      <c r="H18" s="462">
        <v>0.93024717923313638</v>
      </c>
      <c r="I18" s="463">
        <v>0.10433756912765542</v>
      </c>
      <c r="J18" s="461">
        <v>10.977049604612796</v>
      </c>
      <c r="K18" s="461">
        <v>0.87655968010928798</v>
      </c>
      <c r="L18" s="461">
        <v>0.65972424492723114</v>
      </c>
      <c r="M18" s="462">
        <v>0.84816480398478733</v>
      </c>
      <c r="N18" s="458">
        <f t="shared" si="1"/>
        <v>-2.1118695531120615</v>
      </c>
      <c r="O18" s="440">
        <f t="shared" si="2"/>
        <v>4.4599930093617379</v>
      </c>
      <c r="P18" s="465">
        <f t="shared" si="3"/>
        <v>10.977049604612796</v>
      </c>
      <c r="Q18" s="440">
        <f t="shared" si="4"/>
        <v>9.7064559455998527</v>
      </c>
      <c r="R18" s="440">
        <f t="shared" si="5"/>
        <v>12.24764326362574</v>
      </c>
      <c r="S18" s="466">
        <f t="shared" si="6"/>
        <v>-51434.586817355143</v>
      </c>
      <c r="T18" s="440">
        <f t="shared" si="7"/>
        <v>2645516721.0720434</v>
      </c>
      <c r="U18" s="466">
        <f t="shared" si="8"/>
        <v>58515.655020806094</v>
      </c>
      <c r="V18" s="467">
        <f t="shared" si="9"/>
        <v>16423.293568056411</v>
      </c>
      <c r="W18" s="467">
        <f t="shared" si="10"/>
        <v>208489.35497164147</v>
      </c>
      <c r="X18" s="468">
        <f t="shared" si="11"/>
        <v>7.2636762335220162</v>
      </c>
      <c r="Y18" s="468">
        <f t="shared" si="12"/>
        <v>7.2636762335220162</v>
      </c>
      <c r="Z18" s="441">
        <f t="shared" si="13"/>
        <v>9.0377838664465919</v>
      </c>
      <c r="AA18" s="471">
        <f t="shared" si="14"/>
        <v>10.927138012425109</v>
      </c>
      <c r="AB18" s="441">
        <f t="shared" si="15"/>
        <v>8.8651800515007348</v>
      </c>
      <c r="AC18" s="802">
        <f t="shared" si="18"/>
        <v>74</v>
      </c>
      <c r="AD18" s="435">
        <f t="shared" si="16"/>
        <v>9.6565443534121655</v>
      </c>
      <c r="AE18" s="441">
        <f t="shared" si="17"/>
        <v>12.197731671438053</v>
      </c>
      <c r="AF18" s="440"/>
    </row>
    <row r="19" spans="1:32">
      <c r="A19" s="455">
        <v>1971</v>
      </c>
      <c r="B19" s="440">
        <f t="shared" si="0"/>
        <v>1975</v>
      </c>
      <c r="C19" s="458">
        <f>LN(VLOOKUP($A19,'Brd Link'!$A$12:$E$60,3))</f>
        <v>6.6075275386919516</v>
      </c>
      <c r="D19" s="458">
        <f>VLOOKUP($A19,'Brd Tbl'!$A$8:$AX$64,12)</f>
        <v>8.0935587151970356</v>
      </c>
      <c r="E19" s="461">
        <v>43</v>
      </c>
      <c r="F19" s="461">
        <v>41</v>
      </c>
      <c r="G19" s="462">
        <v>2.7787613412791776</v>
      </c>
      <c r="H19" s="462">
        <v>0.90266304565369526</v>
      </c>
      <c r="I19" s="463">
        <v>0.11467299614584824</v>
      </c>
      <c r="J19" s="461">
        <v>8.7431322735955206</v>
      </c>
      <c r="K19" s="461">
        <v>0.93016092736406719</v>
      </c>
      <c r="L19" s="461">
        <v>0.60179681193089962</v>
      </c>
      <c r="M19" s="462">
        <v>0.94207287844039833</v>
      </c>
      <c r="N19" s="458">
        <f t="shared" si="1"/>
        <v>-0.64957355839848496</v>
      </c>
      <c r="O19" s="440">
        <f t="shared" si="2"/>
        <v>0.42194580777046997</v>
      </c>
      <c r="P19" s="465">
        <f t="shared" si="3"/>
        <v>8.7431322735955206</v>
      </c>
      <c r="Q19" s="440">
        <f t="shared" si="4"/>
        <v>7.4725386145825778</v>
      </c>
      <c r="R19" s="440">
        <f t="shared" si="5"/>
        <v>10.013725932608462</v>
      </c>
      <c r="S19" s="466">
        <f t="shared" si="6"/>
        <v>-2994.18084691373</v>
      </c>
      <c r="T19" s="440">
        <f t="shared" si="7"/>
        <v>8965118.944025021</v>
      </c>
      <c r="U19" s="466">
        <f t="shared" si="8"/>
        <v>6267.4965125325252</v>
      </c>
      <c r="V19" s="467">
        <f t="shared" si="9"/>
        <v>1759.0666143187186</v>
      </c>
      <c r="W19" s="467">
        <f t="shared" si="10"/>
        <v>22330.884012497128</v>
      </c>
      <c r="X19" s="468">
        <f t="shared" si="11"/>
        <v>0.91472413686313481</v>
      </c>
      <c r="Y19" s="468">
        <f t="shared" si="12"/>
        <v>0.91472413686313481</v>
      </c>
      <c r="Z19" s="441">
        <f t="shared" si="13"/>
        <v>6.6075275386919516</v>
      </c>
      <c r="AA19" s="471">
        <f t="shared" si="14"/>
        <v>8.6847845039425415</v>
      </c>
      <c r="AB19" s="441">
        <f t="shared" si="15"/>
        <v>8.0935587151970356</v>
      </c>
      <c r="AC19" s="802">
        <f t="shared" si="18"/>
        <v>75</v>
      </c>
      <c r="AD19" s="435">
        <f t="shared" si="16"/>
        <v>7.4141908449295988</v>
      </c>
      <c r="AE19" s="441">
        <f t="shared" si="17"/>
        <v>9.9553781629554834</v>
      </c>
      <c r="AF19" s="440"/>
    </row>
    <row r="20" spans="1:32">
      <c r="A20" s="455">
        <v>1972</v>
      </c>
      <c r="B20" s="440">
        <f t="shared" si="0"/>
        <v>1976</v>
      </c>
      <c r="C20" s="458">
        <f>LN(VLOOKUP($A20,'Brd Link'!$A$12:$E$60,3))</f>
        <v>7.007646641534075</v>
      </c>
      <c r="D20" s="458">
        <f>VLOOKUP($A20,'Brd Tbl'!$A$8:$AX$64,12)</f>
        <v>9.4293031174291908</v>
      </c>
      <c r="E20" s="461">
        <v>43</v>
      </c>
      <c r="F20" s="461">
        <v>41</v>
      </c>
      <c r="G20" s="462">
        <v>2.4900538957039888</v>
      </c>
      <c r="H20" s="462">
        <v>0.93280600871769648</v>
      </c>
      <c r="I20" s="463">
        <v>0.11365909663689729</v>
      </c>
      <c r="J20" s="461">
        <v>9.02682878989736</v>
      </c>
      <c r="K20" s="461">
        <v>0.93321049481517893</v>
      </c>
      <c r="L20" s="461">
        <v>0.62161653770754133</v>
      </c>
      <c r="M20" s="462">
        <v>0.94811846503221864</v>
      </c>
      <c r="N20" s="458">
        <f t="shared" si="1"/>
        <v>0.40247432753183077</v>
      </c>
      <c r="O20" s="440">
        <f t="shared" si="2"/>
        <v>0.16198558432219939</v>
      </c>
      <c r="P20" s="465">
        <f t="shared" si="3"/>
        <v>9.02682878989736</v>
      </c>
      <c r="Q20" s="440">
        <f t="shared" si="4"/>
        <v>7.7562351308844173</v>
      </c>
      <c r="R20" s="440">
        <f t="shared" si="5"/>
        <v>10.297422448910304</v>
      </c>
      <c r="S20" s="466">
        <f t="shared" si="6"/>
        <v>4124.4266649738838</v>
      </c>
      <c r="T20" s="440">
        <f t="shared" si="7"/>
        <v>17010895.314747594</v>
      </c>
      <c r="U20" s="466">
        <f t="shared" si="8"/>
        <v>8323.4223542868913</v>
      </c>
      <c r="V20" s="467">
        <f t="shared" si="9"/>
        <v>2336.0929441321646</v>
      </c>
      <c r="W20" s="467">
        <f t="shared" si="10"/>
        <v>29656.080192297057</v>
      </c>
      <c r="X20" s="468">
        <f t="shared" si="11"/>
        <v>-0.33133649505164192</v>
      </c>
      <c r="Y20" s="468">
        <f t="shared" si="12"/>
        <v>0.33133649505164192</v>
      </c>
      <c r="Z20" s="441">
        <f t="shared" si="13"/>
        <v>7.007646641534075</v>
      </c>
      <c r="AA20" s="471">
        <f t="shared" si="14"/>
        <v>9.0539671550984728</v>
      </c>
      <c r="AB20" s="441">
        <f t="shared" si="15"/>
        <v>9.4293031174291908</v>
      </c>
      <c r="AC20" s="802">
        <f t="shared" si="18"/>
        <v>76</v>
      </c>
      <c r="AD20" s="435">
        <f t="shared" si="16"/>
        <v>7.7833734960855301</v>
      </c>
      <c r="AE20" s="441">
        <f t="shared" si="17"/>
        <v>10.324560814111415</v>
      </c>
      <c r="AF20" s="440"/>
    </row>
    <row r="21" spans="1:32">
      <c r="A21" s="455">
        <v>1973</v>
      </c>
      <c r="B21" s="440">
        <f t="shared" si="0"/>
        <v>1977</v>
      </c>
      <c r="C21" s="458">
        <f>LN(VLOOKUP($A21,'Brd Link'!$A$12:$E$60,3))</f>
        <v>8.0040999851136529</v>
      </c>
      <c r="D21" s="458">
        <f>VLOOKUP($A21,'Brd Tbl'!$A$8:$AX$64,12)</f>
        <v>10.217352589747847</v>
      </c>
      <c r="E21" s="461">
        <v>43</v>
      </c>
      <c r="F21" s="461">
        <v>41</v>
      </c>
      <c r="G21" s="462">
        <v>2.5579651692982992</v>
      </c>
      <c r="H21" s="462">
        <v>0.92546501566181116</v>
      </c>
      <c r="I21" s="463">
        <v>0.11166232884422685</v>
      </c>
      <c r="J21" s="461">
        <v>9.9654796873802098</v>
      </c>
      <c r="K21" s="461">
        <v>0.93438080559495607</v>
      </c>
      <c r="L21" s="461">
        <v>0.62622642386316274</v>
      </c>
      <c r="M21" s="462">
        <v>0.95041022376187212</v>
      </c>
      <c r="N21" s="458">
        <f t="shared" si="1"/>
        <v>0.25187290236763715</v>
      </c>
      <c r="O21" s="440">
        <f t="shared" si="2"/>
        <v>6.343995894709728E-2</v>
      </c>
      <c r="P21" s="465">
        <f t="shared" si="3"/>
        <v>9.9654796873802098</v>
      </c>
      <c r="Q21" s="440">
        <f t="shared" si="4"/>
        <v>8.694886028367268</v>
      </c>
      <c r="R21" s="440">
        <f t="shared" si="5"/>
        <v>11.236073346393152</v>
      </c>
      <c r="S21" s="466">
        <f t="shared" si="6"/>
        <v>6095.0204661408607</v>
      </c>
      <c r="T21" s="440">
        <f t="shared" si="7"/>
        <v>37149274.482675955</v>
      </c>
      <c r="U21" s="466">
        <f t="shared" si="8"/>
        <v>21279.0795306242</v>
      </c>
      <c r="V21" s="467">
        <f t="shared" si="9"/>
        <v>5972.2918570287184</v>
      </c>
      <c r="W21" s="467">
        <f t="shared" si="10"/>
        <v>75816.660757751786</v>
      </c>
      <c r="X21" s="468">
        <f t="shared" si="11"/>
        <v>-0.22265646968708161</v>
      </c>
      <c r="Y21" s="468">
        <f t="shared" si="12"/>
        <v>0.22265646968708161</v>
      </c>
      <c r="Z21" s="441">
        <f t="shared" si="13"/>
        <v>8.0040999851136529</v>
      </c>
      <c r="AA21" s="471">
        <f t="shared" si="14"/>
        <v>9.9733766122396688</v>
      </c>
      <c r="AB21" s="441">
        <f t="shared" si="15"/>
        <v>10.217352589747847</v>
      </c>
      <c r="AC21" s="802">
        <f t="shared" si="18"/>
        <v>77</v>
      </c>
      <c r="AD21" s="435">
        <f t="shared" si="16"/>
        <v>8.7027829532267269</v>
      </c>
      <c r="AE21" s="441">
        <f t="shared" si="17"/>
        <v>11.243970271252611</v>
      </c>
      <c r="AF21" s="440"/>
    </row>
    <row r="22" spans="1:32">
      <c r="A22" s="455">
        <v>1974</v>
      </c>
      <c r="B22" s="440">
        <f t="shared" si="0"/>
        <v>1978</v>
      </c>
      <c r="C22" s="458">
        <f>LN(VLOOKUP($A22,'Brd Link'!$A$12:$E$60,3))</f>
        <v>6.3070149062449472</v>
      </c>
      <c r="D22" s="458">
        <f>VLOOKUP($A22,'Brd Tbl'!$A$8:$AX$64,12)</f>
        <v>8.8781335483064883</v>
      </c>
      <c r="E22" s="461">
        <v>43</v>
      </c>
      <c r="F22" s="461">
        <v>41</v>
      </c>
      <c r="G22" s="462">
        <v>2.4132727352868777</v>
      </c>
      <c r="H22" s="462">
        <v>0.94122009301420995</v>
      </c>
      <c r="I22" s="463">
        <v>0.11616196113418401</v>
      </c>
      <c r="J22" s="461">
        <v>8.3495618919847558</v>
      </c>
      <c r="K22" s="461">
        <v>0.93193292619306234</v>
      </c>
      <c r="L22" s="461">
        <v>0.61557570903479264</v>
      </c>
      <c r="M22" s="462">
        <v>0.94538817639164896</v>
      </c>
      <c r="N22" s="458">
        <f t="shared" si="1"/>
        <v>0.52857165632173242</v>
      </c>
      <c r="O22" s="440">
        <f t="shared" si="2"/>
        <v>0.2793879958666996</v>
      </c>
      <c r="P22" s="465">
        <f t="shared" si="3"/>
        <v>8.3495618919847558</v>
      </c>
      <c r="Q22" s="440">
        <f t="shared" si="4"/>
        <v>7.0789682329718131</v>
      </c>
      <c r="R22" s="440">
        <f t="shared" si="5"/>
        <v>9.6201555509976977</v>
      </c>
      <c r="S22" s="466">
        <f t="shared" si="6"/>
        <v>2945.0615754298569</v>
      </c>
      <c r="T22" s="440">
        <f t="shared" si="7"/>
        <v>8673387.6830733903</v>
      </c>
      <c r="U22" s="466">
        <f t="shared" si="8"/>
        <v>4228.3278729495742</v>
      </c>
      <c r="V22" s="467">
        <f t="shared" si="9"/>
        <v>1186.7434438656624</v>
      </c>
      <c r="W22" s="467">
        <f t="shared" si="10"/>
        <v>15065.393193093641</v>
      </c>
      <c r="X22" s="468">
        <f t="shared" si="11"/>
        <v>-0.41055369942241005</v>
      </c>
      <c r="Y22" s="468">
        <f t="shared" si="12"/>
        <v>0.41055369942241005</v>
      </c>
      <c r="Z22" s="441">
        <f t="shared" si="13"/>
        <v>6.3070149062449472</v>
      </c>
      <c r="AA22" s="471">
        <f t="shared" si="14"/>
        <v>8.4075069394259376</v>
      </c>
      <c r="AB22" s="441">
        <f t="shared" si="15"/>
        <v>8.8781335483064883</v>
      </c>
      <c r="AC22" s="802">
        <f t="shared" si="18"/>
        <v>78</v>
      </c>
      <c r="AD22" s="435">
        <f t="shared" si="16"/>
        <v>7.1369132804129949</v>
      </c>
      <c r="AE22" s="441">
        <f t="shared" si="17"/>
        <v>9.6781005984388813</v>
      </c>
      <c r="AF22" s="440"/>
    </row>
    <row r="23" spans="1:32">
      <c r="A23" s="455">
        <v>1977</v>
      </c>
      <c r="B23" s="440">
        <f t="shared" si="0"/>
        <v>1981</v>
      </c>
      <c r="C23" s="458">
        <f>LN(VLOOKUP($A23,'Brd Link'!$A$12:$E$60,3))</f>
        <v>8.586839002480172</v>
      </c>
      <c r="D23" s="458">
        <f>VLOOKUP($A23,'Brd Tbl'!$A$8:$AX$64,12)</f>
        <v>12.238417612427757</v>
      </c>
      <c r="E23" s="461">
        <v>43</v>
      </c>
      <c r="F23" s="461">
        <v>41</v>
      </c>
      <c r="G23" s="462">
        <v>2.5044290962416511</v>
      </c>
      <c r="H23" s="462">
        <v>0.92763543842040108</v>
      </c>
      <c r="I23" s="463">
        <v>0.10644892720979832</v>
      </c>
      <c r="J23" s="461">
        <v>10.469885258952745</v>
      </c>
      <c r="K23" s="461">
        <v>0.89445894603769915</v>
      </c>
      <c r="L23" s="461">
        <v>0.64939363346745094</v>
      </c>
      <c r="M23" s="462">
        <v>0.87914820687022655</v>
      </c>
      <c r="N23" s="458">
        <f t="shared" si="1"/>
        <v>1.7685323534750115</v>
      </c>
      <c r="O23" s="440">
        <f t="shared" si="2"/>
        <v>3.1277066852878628</v>
      </c>
      <c r="P23" s="465">
        <f t="shared" si="3"/>
        <v>10.469885258952745</v>
      </c>
      <c r="Q23" s="440">
        <f t="shared" si="4"/>
        <v>9.1992915999398015</v>
      </c>
      <c r="R23" s="440">
        <f t="shared" si="5"/>
        <v>11.740478917965689</v>
      </c>
      <c r="S23" s="466">
        <f t="shared" si="6"/>
        <v>171336.57634987403</v>
      </c>
      <c r="T23" s="440">
        <f t="shared" si="7"/>
        <v>29356222395.296211</v>
      </c>
      <c r="U23" s="466">
        <f t="shared" si="8"/>
        <v>35238.173871845051</v>
      </c>
      <c r="V23" s="467">
        <f t="shared" si="9"/>
        <v>9890.1204146779437</v>
      </c>
      <c r="W23" s="467">
        <f t="shared" si="10"/>
        <v>125552.45495085491</v>
      </c>
      <c r="X23" s="468">
        <f t="shared" si="11"/>
        <v>-0.82941683901820762</v>
      </c>
      <c r="Y23" s="468">
        <f t="shared" si="12"/>
        <v>0.82941683901820762</v>
      </c>
      <c r="Z23" s="441">
        <f t="shared" si="13"/>
        <v>8.586839002480172</v>
      </c>
      <c r="AA23" s="471">
        <f t="shared" si="14"/>
        <v>10.511059351791998</v>
      </c>
      <c r="AB23" s="441">
        <f t="shared" si="15"/>
        <v>12.238417612427757</v>
      </c>
      <c r="AC23" s="802">
        <f t="shared" si="18"/>
        <v>81</v>
      </c>
      <c r="AD23" s="435">
        <f t="shared" si="16"/>
        <v>9.2404656927790541</v>
      </c>
      <c r="AE23" s="441">
        <f t="shared" si="17"/>
        <v>11.781653010804941</v>
      </c>
      <c r="AF23" s="440"/>
    </row>
    <row r="24" spans="1:32">
      <c r="A24" s="957">
        <v>1978</v>
      </c>
      <c r="B24" s="440">
        <f t="shared" si="0"/>
        <v>1982</v>
      </c>
      <c r="C24" s="458">
        <f>LN(VLOOKUP($A24,'Brd Link'!$A$12:$E$60,3))</f>
        <v>8.5480442959323497</v>
      </c>
      <c r="D24" s="458">
        <f>VLOOKUP($A24,'Brd Tbl'!$A$8:$AX$64,12)</f>
        <v>10.808748399681072</v>
      </c>
      <c r="E24" s="461">
        <v>43</v>
      </c>
      <c r="F24" s="461">
        <v>41</v>
      </c>
      <c r="G24" s="462">
        <v>2.5703260747150267</v>
      </c>
      <c r="H24" s="462">
        <v>0.92382600183553787</v>
      </c>
      <c r="I24" s="463">
        <v>0.11113209410985396</v>
      </c>
      <c r="J24" s="461">
        <v>10.467231660139284</v>
      </c>
      <c r="K24" s="461">
        <v>0.93369613767790505</v>
      </c>
      <c r="L24" s="461">
        <v>0.62762381199008843</v>
      </c>
      <c r="M24" s="462">
        <v>0.94917316040279875</v>
      </c>
      <c r="N24" s="458">
        <f t="shared" si="1"/>
        <v>0.34151673954178818</v>
      </c>
      <c r="O24" s="440">
        <f t="shared" si="2"/>
        <v>0.11663368338725359</v>
      </c>
      <c r="P24" s="465">
        <f t="shared" si="3"/>
        <v>10.467231660139284</v>
      </c>
      <c r="Q24" s="440">
        <f t="shared" si="4"/>
        <v>9.1966380011263418</v>
      </c>
      <c r="R24" s="440">
        <f t="shared" si="5"/>
        <v>11.737825319152225</v>
      </c>
      <c r="S24" s="466">
        <f t="shared" si="6"/>
        <v>14306.746218791384</v>
      </c>
      <c r="T24" s="440">
        <f t="shared" si="7"/>
        <v>204682987.36890158</v>
      </c>
      <c r="U24" s="466">
        <f t="shared" si="8"/>
        <v>35144.789852129761</v>
      </c>
      <c r="V24" s="467">
        <f t="shared" si="9"/>
        <v>9863.9107931706221</v>
      </c>
      <c r="W24" s="467">
        <f t="shared" si="10"/>
        <v>125219.73075887261</v>
      </c>
      <c r="X24" s="468">
        <f t="shared" si="11"/>
        <v>-0.28930842913096366</v>
      </c>
      <c r="Y24" s="468">
        <f t="shared" si="12"/>
        <v>0.28930842913096366</v>
      </c>
      <c r="Z24" s="441">
        <f t="shared" si="13"/>
        <v>8.5480442959323497</v>
      </c>
      <c r="AA24" s="471">
        <f t="shared" si="14"/>
        <v>10.475264178523821</v>
      </c>
      <c r="AB24" s="441">
        <f t="shared" si="15"/>
        <v>10.808748399681072</v>
      </c>
      <c r="AC24" s="802">
        <f t="shared" si="18"/>
        <v>82</v>
      </c>
      <c r="AD24" s="435">
        <f t="shared" si="16"/>
        <v>9.2046705195108771</v>
      </c>
      <c r="AE24" s="441">
        <f t="shared" si="17"/>
        <v>11.745857837536764</v>
      </c>
      <c r="AF24" s="440"/>
    </row>
    <row r="25" spans="1:32">
      <c r="A25" s="957">
        <v>1979</v>
      </c>
      <c r="B25" s="440">
        <f t="shared" si="0"/>
        <v>1983</v>
      </c>
      <c r="C25" s="458">
        <f>LN(VLOOKUP($A25,'Brd Link'!$A$12:$E$60,3))</f>
        <v>10.094793340210199</v>
      </c>
      <c r="D25" s="458">
        <f>VLOOKUP($A25,'Brd Tbl'!$A$8:$AX$64,12)</f>
        <v>11.306855279311714</v>
      </c>
      <c r="E25" s="461">
        <v>43</v>
      </c>
      <c r="F25" s="461">
        <v>41</v>
      </c>
      <c r="G25" s="462">
        <v>2.5005324844869836</v>
      </c>
      <c r="H25" s="462">
        <v>0.93427128449385244</v>
      </c>
      <c r="I25" s="463">
        <v>0.11208686472309305</v>
      </c>
      <c r="J25" s="461">
        <v>11.931808025145154</v>
      </c>
      <c r="K25" s="461">
        <v>0.93031619681177802</v>
      </c>
      <c r="L25" s="461">
        <v>0.62887961215129384</v>
      </c>
      <c r="M25" s="462">
        <v>0.9428026429344849</v>
      </c>
      <c r="N25" s="458">
        <f t="shared" si="1"/>
        <v>-0.62495274583343985</v>
      </c>
      <c r="O25" s="440">
        <f t="shared" si="2"/>
        <v>0.39056593452475608</v>
      </c>
      <c r="P25" s="465">
        <f t="shared" si="3"/>
        <v>11.931808025145154</v>
      </c>
      <c r="Q25" s="440">
        <f t="shared" si="4"/>
        <v>10.66121436613221</v>
      </c>
      <c r="R25" s="440">
        <f t="shared" si="5"/>
        <v>13.202401684158097</v>
      </c>
      <c r="S25" s="466">
        <f t="shared" si="6"/>
        <v>-70648.584614854917</v>
      </c>
      <c r="T25" s="440">
        <f t="shared" si="7"/>
        <v>4991222508.0823145</v>
      </c>
      <c r="U25" s="466">
        <f t="shared" si="8"/>
        <v>152026.18050255248</v>
      </c>
      <c r="V25" s="467">
        <f t="shared" si="9"/>
        <v>42668.420810396638</v>
      </c>
      <c r="W25" s="467">
        <f t="shared" si="10"/>
        <v>541664.28284037125</v>
      </c>
      <c r="X25" s="468">
        <f t="shared" si="11"/>
        <v>0.86815767711239766</v>
      </c>
      <c r="Y25" s="468">
        <f t="shared" si="12"/>
        <v>0.86815767711239766</v>
      </c>
      <c r="Z25" s="441">
        <f t="shared" si="13"/>
        <v>10.094793340210199</v>
      </c>
      <c r="AA25" s="471">
        <f t="shared" si="14"/>
        <v>11.902421514385168</v>
      </c>
      <c r="AB25" s="441">
        <f t="shared" si="15"/>
        <v>11.306855279311714</v>
      </c>
      <c r="AC25" s="802">
        <f t="shared" si="18"/>
        <v>83</v>
      </c>
      <c r="AD25" s="435">
        <f t="shared" si="16"/>
        <v>10.631827855372226</v>
      </c>
      <c r="AE25" s="441">
        <f t="shared" si="17"/>
        <v>13.17301517339811</v>
      </c>
      <c r="AF25" s="440"/>
    </row>
    <row r="26" spans="1:32">
      <c r="A26" s="957">
        <v>1980</v>
      </c>
      <c r="B26" s="440">
        <f t="shared" si="0"/>
        <v>1984</v>
      </c>
      <c r="C26" s="458">
        <f>LN(VLOOKUP($A26,'Brd Link'!$A$12:$E$60,3))</f>
        <v>8.5746342369642754</v>
      </c>
      <c r="D26" s="458">
        <f>VLOOKUP($A26,'Brd Tbl'!$A$8:$AX$64,12)</f>
        <v>9.7455515916903028</v>
      </c>
      <c r="E26" s="461">
        <v>43</v>
      </c>
      <c r="F26" s="461">
        <v>41</v>
      </c>
      <c r="G26" s="462">
        <v>2.6258646751679624</v>
      </c>
      <c r="H26" s="462">
        <v>0.92038536371170876</v>
      </c>
      <c r="I26" s="463">
        <v>0.11039170806062575</v>
      </c>
      <c r="J26" s="461">
        <v>10.517832526051198</v>
      </c>
      <c r="K26" s="461">
        <v>0.92755550381643792</v>
      </c>
      <c r="L26" s="461">
        <v>0.62900317492078339</v>
      </c>
      <c r="M26" s="462">
        <v>0.93801538928209927</v>
      </c>
      <c r="N26" s="458">
        <f t="shared" si="1"/>
        <v>-0.77228093436089473</v>
      </c>
      <c r="O26" s="440">
        <f t="shared" si="2"/>
        <v>0.59641784157733657</v>
      </c>
      <c r="P26" s="465">
        <f t="shared" si="3"/>
        <v>10.517832526051198</v>
      </c>
      <c r="Q26" s="440">
        <f t="shared" si="4"/>
        <v>9.2472388670382557</v>
      </c>
      <c r="R26" s="440">
        <f t="shared" si="5"/>
        <v>11.788426185064139</v>
      </c>
      <c r="S26" s="466">
        <f t="shared" si="6"/>
        <v>-19890.819173606807</v>
      </c>
      <c r="T26" s="440">
        <f t="shared" si="7"/>
        <v>395644687.39712417</v>
      </c>
      <c r="U26" s="466">
        <f t="shared" si="8"/>
        <v>36968.908444350272</v>
      </c>
      <c r="V26" s="467">
        <f t="shared" si="9"/>
        <v>10375.876952181154</v>
      </c>
      <c r="W26" s="467">
        <f t="shared" si="10"/>
        <v>131719.00532990164</v>
      </c>
      <c r="X26" s="468">
        <f t="shared" si="11"/>
        <v>1.1646981613851755</v>
      </c>
      <c r="Y26" s="468">
        <f t="shared" si="12"/>
        <v>1.1646981613851755</v>
      </c>
      <c r="Z26" s="441">
        <f t="shared" si="13"/>
        <v>8.5746342369642754</v>
      </c>
      <c r="AA26" s="471">
        <f t="shared" si="14"/>
        <v>10.499798235644606</v>
      </c>
      <c r="AB26" s="441">
        <f t="shared" si="15"/>
        <v>9.7455515916903028</v>
      </c>
      <c r="AC26" s="802">
        <f t="shared" si="18"/>
        <v>84</v>
      </c>
      <c r="AD26" s="435">
        <f t="shared" si="16"/>
        <v>9.2292045766316626</v>
      </c>
      <c r="AE26" s="441">
        <f t="shared" si="17"/>
        <v>11.77039189465755</v>
      </c>
      <c r="AF26" s="440"/>
    </row>
    <row r="27" spans="1:32">
      <c r="A27" s="455">
        <v>1981</v>
      </c>
      <c r="B27" s="440">
        <f t="shared" si="0"/>
        <v>1985</v>
      </c>
      <c r="C27" s="458">
        <f>LN(VLOOKUP($A27,'Brd Link'!$A$12:$E$60,3))</f>
        <v>8.8696320589821838</v>
      </c>
      <c r="D27" s="458">
        <f>VLOOKUP($A27,'Brd Tbl'!$A$8:$AX$64,12)</f>
        <v>11.677699198282076</v>
      </c>
      <c r="E27" s="461">
        <v>43</v>
      </c>
      <c r="F27" s="461">
        <v>41</v>
      </c>
      <c r="G27" s="462">
        <v>2.5768606812426977</v>
      </c>
      <c r="H27" s="462">
        <v>0.9215677460260514</v>
      </c>
      <c r="I27" s="463">
        <v>0.10995943524543302</v>
      </c>
      <c r="J27" s="461">
        <v>10.750827505919315</v>
      </c>
      <c r="K27" s="461">
        <v>0.92417054941050092</v>
      </c>
      <c r="L27" s="461">
        <v>0.63143023882583726</v>
      </c>
      <c r="M27" s="462">
        <v>0.93190670806056264</v>
      </c>
      <c r="N27" s="458">
        <f t="shared" si="1"/>
        <v>0.92687169236276112</v>
      </c>
      <c r="O27" s="440">
        <f t="shared" si="2"/>
        <v>0.85909113410340887</v>
      </c>
      <c r="P27" s="465">
        <f t="shared" si="3"/>
        <v>10.750827505919315</v>
      </c>
      <c r="Q27" s="440">
        <f t="shared" si="4"/>
        <v>9.4802338469063727</v>
      </c>
      <c r="R27" s="440">
        <f t="shared" si="5"/>
        <v>12.021421164932256</v>
      </c>
      <c r="S27" s="466">
        <f t="shared" si="6"/>
        <v>71243.998104635742</v>
      </c>
      <c r="T27" s="440">
        <f t="shared" si="7"/>
        <v>5075707265.933341</v>
      </c>
      <c r="U27" s="466">
        <f t="shared" si="8"/>
        <v>46668.631047822259</v>
      </c>
      <c r="V27" s="467">
        <f t="shared" si="9"/>
        <v>13098.249141108905</v>
      </c>
      <c r="W27" s="467">
        <f t="shared" si="10"/>
        <v>166278.7980602858</v>
      </c>
      <c r="X27" s="468">
        <f t="shared" si="11"/>
        <v>-0.60421007161598506</v>
      </c>
      <c r="Y27" s="468">
        <f t="shared" si="12"/>
        <v>0.60421007161598506</v>
      </c>
      <c r="Z27" s="441">
        <f t="shared" si="13"/>
        <v>8.8696320589821838</v>
      </c>
      <c r="AA27" s="471">
        <f t="shared" si="14"/>
        <v>10.771987384436057</v>
      </c>
      <c r="AB27" s="441">
        <f t="shared" si="15"/>
        <v>11.677699198282076</v>
      </c>
      <c r="AC27" s="802">
        <f t="shared" si="18"/>
        <v>85</v>
      </c>
      <c r="AD27" s="435">
        <f t="shared" si="16"/>
        <v>9.5013937254231138</v>
      </c>
      <c r="AE27" s="441">
        <f t="shared" si="17"/>
        <v>12.042581043449001</v>
      </c>
      <c r="AF27" s="440"/>
    </row>
    <row r="28" spans="1:32">
      <c r="A28" s="455">
        <v>1982</v>
      </c>
      <c r="B28" s="440">
        <f t="shared" si="0"/>
        <v>1986</v>
      </c>
      <c r="C28" s="458">
        <f>LN(VLOOKUP($A28,'Brd Link'!$A$12:$E$60,3))</f>
        <v>10.879651704009689</v>
      </c>
      <c r="D28" s="458">
        <f>VLOOKUP($A28,'Brd Tbl'!$A$8:$AX$64,12)</f>
        <v>11.778844272462115</v>
      </c>
      <c r="E28" s="461">
        <v>43</v>
      </c>
      <c r="F28" s="461">
        <v>41</v>
      </c>
      <c r="G28" s="462">
        <v>2.3678730893562765</v>
      </c>
      <c r="H28" s="462">
        <v>0.95015221657832383</v>
      </c>
      <c r="I28" s="463">
        <v>0.11371229349419058</v>
      </c>
      <c r="J28" s="461">
        <v>12.705198271521221</v>
      </c>
      <c r="K28" s="461">
        <v>0.92488495939057946</v>
      </c>
      <c r="L28" s="461">
        <v>0.63002621982282325</v>
      </c>
      <c r="M28" s="462">
        <v>0.93192901974732112</v>
      </c>
      <c r="N28" s="458">
        <f t="shared" si="1"/>
        <v>-0.92635399905910631</v>
      </c>
      <c r="O28" s="440">
        <f t="shared" si="2"/>
        <v>0.85813173157279876</v>
      </c>
      <c r="P28" s="465">
        <f t="shared" si="3"/>
        <v>12.705198271521221</v>
      </c>
      <c r="Q28" s="440">
        <f t="shared" si="4"/>
        <v>11.434604612508277</v>
      </c>
      <c r="R28" s="440">
        <f t="shared" si="5"/>
        <v>13.975791930534164</v>
      </c>
      <c r="S28" s="466">
        <f t="shared" si="6"/>
        <v>-198993.14751999345</v>
      </c>
      <c r="T28" s="440">
        <f t="shared" si="7"/>
        <v>39598272759.913872</v>
      </c>
      <c r="U28" s="466">
        <f t="shared" si="8"/>
        <v>329456.06034754595</v>
      </c>
      <c r="V28" s="467">
        <f t="shared" si="9"/>
        <v>92466.769703580765</v>
      </c>
      <c r="W28" s="467">
        <f t="shared" si="10"/>
        <v>1173841.1112194674</v>
      </c>
      <c r="X28" s="468">
        <f t="shared" si="11"/>
        <v>1.5252851803410603</v>
      </c>
      <c r="Y28" s="468">
        <f t="shared" si="12"/>
        <v>1.5252851803410603</v>
      </c>
      <c r="Z28" s="441">
        <f t="shared" si="13"/>
        <v>10.879651704009689</v>
      </c>
      <c r="AA28" s="471">
        <f t="shared" si="14"/>
        <v>12.626596115075831</v>
      </c>
      <c r="AB28" s="441">
        <f t="shared" si="15"/>
        <v>11.778844272462115</v>
      </c>
      <c r="AC28" s="802">
        <f t="shared" si="18"/>
        <v>86</v>
      </c>
      <c r="AD28" s="435">
        <f t="shared" si="16"/>
        <v>11.356002456062889</v>
      </c>
      <c r="AE28" s="441">
        <f t="shared" si="17"/>
        <v>13.897189774088773</v>
      </c>
      <c r="AF28" s="440"/>
    </row>
    <row r="29" spans="1:32">
      <c r="A29" s="455">
        <v>1983</v>
      </c>
      <c r="B29" s="440">
        <f t="shared" si="0"/>
        <v>1987</v>
      </c>
      <c r="C29" s="458">
        <f>LN(VLOOKUP($A29,'Brd Link'!$A$12:$E$60,3))</f>
        <v>9.691468495413643</v>
      </c>
      <c r="D29" s="458">
        <f>VLOOKUP($A29,'Brd Tbl'!$A$8:$AX$64,12)</f>
        <v>11.710656075118306</v>
      </c>
      <c r="E29" s="461">
        <v>43</v>
      </c>
      <c r="F29" s="461">
        <v>41</v>
      </c>
      <c r="G29" s="462">
        <v>2.6049550457640649</v>
      </c>
      <c r="H29" s="462">
        <v>0.92028433162990531</v>
      </c>
      <c r="I29" s="463">
        <v>0.11187974884448473</v>
      </c>
      <c r="J29" s="461">
        <v>11.523861652578093</v>
      </c>
      <c r="K29" s="461">
        <v>0.9347430188241278</v>
      </c>
      <c r="L29" s="461">
        <v>0.62268115919528277</v>
      </c>
      <c r="M29" s="462">
        <v>0.95107412614919706</v>
      </c>
      <c r="N29" s="458">
        <f t="shared" si="1"/>
        <v>0.18679442254021339</v>
      </c>
      <c r="O29" s="440">
        <f t="shared" si="2"/>
        <v>3.4892156292131778E-2</v>
      </c>
      <c r="P29" s="465">
        <f t="shared" si="3"/>
        <v>11.523861652578093</v>
      </c>
      <c r="Q29" s="440">
        <f t="shared" si="4"/>
        <v>10.253267993565149</v>
      </c>
      <c r="R29" s="440">
        <f t="shared" si="5"/>
        <v>12.794455311591037</v>
      </c>
      <c r="S29" s="466">
        <f t="shared" si="6"/>
        <v>20763.785564958263</v>
      </c>
      <c r="T29" s="440">
        <f t="shared" si="7"/>
        <v>431134790.98756915</v>
      </c>
      <c r="U29" s="466">
        <f t="shared" si="8"/>
        <v>101099.62062999129</v>
      </c>
      <c r="V29" s="467">
        <f t="shared" si="9"/>
        <v>28375.12027567843</v>
      </c>
      <c r="W29" s="467">
        <f t="shared" si="10"/>
        <v>360214.62436898093</v>
      </c>
      <c r="X29" s="468">
        <f t="shared" si="11"/>
        <v>-0.17038573115001923</v>
      </c>
      <c r="Y29" s="468">
        <f t="shared" si="12"/>
        <v>0.17038573115001923</v>
      </c>
      <c r="Z29" s="441">
        <f t="shared" si="13"/>
        <v>9.691468495413643</v>
      </c>
      <c r="AA29" s="471">
        <f t="shared" si="14"/>
        <v>11.530280983174894</v>
      </c>
      <c r="AB29" s="441">
        <f t="shared" si="15"/>
        <v>11.710656075118306</v>
      </c>
      <c r="AC29" s="802">
        <f t="shared" si="18"/>
        <v>87</v>
      </c>
      <c r="AD29" s="435">
        <f t="shared" si="16"/>
        <v>10.259687324161952</v>
      </c>
      <c r="AE29" s="441">
        <f t="shared" si="17"/>
        <v>12.800874642187836</v>
      </c>
      <c r="AF29" s="440"/>
    </row>
    <row r="30" spans="1:32">
      <c r="A30" s="455">
        <v>1984</v>
      </c>
      <c r="B30" s="440">
        <f t="shared" si="0"/>
        <v>1988</v>
      </c>
      <c r="C30" s="458">
        <f>LN(VLOOKUP($A30,'Brd Link'!$A$12:$E$60,3))</f>
        <v>9.0500513831636873</v>
      </c>
      <c r="D30" s="458">
        <f>VLOOKUP($A30,'Brd Tbl'!$A$8:$AX$64,12)</f>
        <v>11.469223264682705</v>
      </c>
      <c r="E30" s="461">
        <v>43</v>
      </c>
      <c r="F30" s="461">
        <v>41</v>
      </c>
      <c r="G30" s="462">
        <v>2.5937205003276738</v>
      </c>
      <c r="H30" s="462">
        <v>0.92063993485490847</v>
      </c>
      <c r="I30" s="463">
        <v>0.11087179192198812</v>
      </c>
      <c r="J30" s="461">
        <v>10.925559216157065</v>
      </c>
      <c r="K30" s="461">
        <v>0.93141198215955756</v>
      </c>
      <c r="L30" s="461">
        <v>0.62710495987235026</v>
      </c>
      <c r="M30" s="462">
        <v>0.94501183681507694</v>
      </c>
      <c r="N30" s="458">
        <f t="shared" si="1"/>
        <v>0.5436640485256401</v>
      </c>
      <c r="O30" s="440">
        <f t="shared" si="2"/>
        <v>0.29557059765928956</v>
      </c>
      <c r="P30" s="465">
        <f t="shared" si="3"/>
        <v>10.925559216157065</v>
      </c>
      <c r="Q30" s="440">
        <f t="shared" si="4"/>
        <v>9.6549655571441235</v>
      </c>
      <c r="R30" s="440">
        <f t="shared" si="5"/>
        <v>12.196152875170007</v>
      </c>
      <c r="S30" s="466">
        <f t="shared" si="6"/>
        <v>40144.981137078423</v>
      </c>
      <c r="T30" s="440">
        <f t="shared" si="7"/>
        <v>1611619510.4963825</v>
      </c>
      <c r="U30" s="466">
        <f t="shared" si="8"/>
        <v>55578.91691534366</v>
      </c>
      <c r="V30" s="467">
        <f t="shared" si="9"/>
        <v>15599.054105619283</v>
      </c>
      <c r="W30" s="467">
        <f t="shared" si="10"/>
        <v>198025.85365544123</v>
      </c>
      <c r="X30" s="468">
        <f t="shared" si="11"/>
        <v>-0.41938305850325369</v>
      </c>
      <c r="Y30" s="468">
        <f t="shared" si="12"/>
        <v>0.41938305850325369</v>
      </c>
      <c r="Z30" s="441">
        <f t="shared" si="13"/>
        <v>9.0500513831636873</v>
      </c>
      <c r="AA30" s="471">
        <f t="shared" si="14"/>
        <v>10.9384570279696</v>
      </c>
      <c r="AB30" s="441">
        <f t="shared" si="15"/>
        <v>11.469223264682705</v>
      </c>
      <c r="AC30" s="802">
        <f t="shared" si="18"/>
        <v>88</v>
      </c>
      <c r="AD30" s="435">
        <f t="shared" si="16"/>
        <v>9.667863368956656</v>
      </c>
      <c r="AE30" s="441">
        <f t="shared" si="17"/>
        <v>12.209050686982543</v>
      </c>
      <c r="AF30" s="440"/>
    </row>
    <row r="31" spans="1:32">
      <c r="A31" s="455">
        <v>1985</v>
      </c>
      <c r="B31" s="440">
        <f t="shared" si="0"/>
        <v>1989</v>
      </c>
      <c r="C31" s="458">
        <f>LN(VLOOKUP($A31,'Brd Link'!$A$12:$E$60,3))</f>
        <v>9.2612356046476805</v>
      </c>
      <c r="D31" s="458">
        <f>VLOOKUP($A31,'Brd Tbl'!$A$8:$AX$64,12)</f>
        <v>10.947528823911643</v>
      </c>
      <c r="E31" s="461">
        <v>43</v>
      </c>
      <c r="F31" s="461">
        <v>41</v>
      </c>
      <c r="G31" s="462">
        <v>2.581171435406592</v>
      </c>
      <c r="H31" s="462">
        <v>0.92396843111517379</v>
      </c>
      <c r="I31" s="463">
        <v>0.11139219066885954</v>
      </c>
      <c r="J31" s="461">
        <v>11.138260767220897</v>
      </c>
      <c r="K31" s="461">
        <v>0.93472029293438674</v>
      </c>
      <c r="L31" s="461">
        <v>0.62660260889231445</v>
      </c>
      <c r="M31" s="462">
        <v>0.95103955596532741</v>
      </c>
      <c r="N31" s="458">
        <f t="shared" si="1"/>
        <v>-0.19073194330925425</v>
      </c>
      <c r="O31" s="440">
        <f t="shared" si="2"/>
        <v>3.6378674198524578E-2</v>
      </c>
      <c r="P31" s="465">
        <f t="shared" si="3"/>
        <v>11.138260767220897</v>
      </c>
      <c r="Q31" s="440">
        <f t="shared" si="4"/>
        <v>9.8676671082079537</v>
      </c>
      <c r="R31" s="440">
        <f t="shared" si="5"/>
        <v>12.408854426233841</v>
      </c>
      <c r="S31" s="466">
        <f t="shared" si="6"/>
        <v>-11938.501058272675</v>
      </c>
      <c r="T31" s="440">
        <f t="shared" si="7"/>
        <v>142527807.51837778</v>
      </c>
      <c r="U31" s="466">
        <f t="shared" si="8"/>
        <v>68751.976707247173</v>
      </c>
      <c r="V31" s="467">
        <f t="shared" si="9"/>
        <v>19296.270313402743</v>
      </c>
      <c r="W31" s="467">
        <f t="shared" si="10"/>
        <v>244961.03259243359</v>
      </c>
      <c r="X31" s="468">
        <f t="shared" si="11"/>
        <v>0.21013502381081961</v>
      </c>
      <c r="Y31" s="468">
        <f t="shared" si="12"/>
        <v>0.21013502381081961</v>
      </c>
      <c r="Z31" s="441">
        <f t="shared" si="13"/>
        <v>9.2612356046476805</v>
      </c>
      <c r="AA31" s="471">
        <f t="shared" si="14"/>
        <v>11.133312885178009</v>
      </c>
      <c r="AB31" s="441">
        <f t="shared" si="15"/>
        <v>10.947528823911643</v>
      </c>
      <c r="AC31" s="802">
        <f t="shared" si="18"/>
        <v>89</v>
      </c>
      <c r="AD31" s="435">
        <f t="shared" si="16"/>
        <v>9.8627192261650656</v>
      </c>
      <c r="AE31" s="441">
        <f t="shared" si="17"/>
        <v>12.403906544190953</v>
      </c>
      <c r="AF31" s="440"/>
    </row>
    <row r="32" spans="1:32">
      <c r="A32" s="455">
        <v>1986</v>
      </c>
      <c r="B32" s="440">
        <f t="shared" si="0"/>
        <v>1990</v>
      </c>
      <c r="C32" s="458">
        <f>LN(VLOOKUP($A32,'Brd Link'!$A$12:$E$60,3))</f>
        <v>9.8791699510630728</v>
      </c>
      <c r="D32" s="458">
        <f>VLOOKUP($A32,'Brd Tbl'!$A$8:$AX$64,12)</f>
        <v>12.368367898989618</v>
      </c>
      <c r="E32" s="461">
        <v>43</v>
      </c>
      <c r="F32" s="461">
        <v>41</v>
      </c>
      <c r="G32" s="462">
        <v>2.6666312233778147</v>
      </c>
      <c r="H32" s="462">
        <v>0.91195547490031215</v>
      </c>
      <c r="I32" s="463">
        <v>0.11151895379094053</v>
      </c>
      <c r="J32" s="461">
        <v>11.675994347720433</v>
      </c>
      <c r="K32" s="461">
        <v>0.92915986320302479</v>
      </c>
      <c r="L32" s="461">
        <v>0.61992293498636131</v>
      </c>
      <c r="M32" s="462">
        <v>0.94073717316768601</v>
      </c>
      <c r="N32" s="458">
        <f t="shared" si="1"/>
        <v>0.69237355126918487</v>
      </c>
      <c r="O32" s="440">
        <f t="shared" si="2"/>
        <v>0.47938113449710257</v>
      </c>
      <c r="P32" s="465">
        <f t="shared" si="3"/>
        <v>11.675994347720433</v>
      </c>
      <c r="Q32" s="440">
        <f t="shared" si="4"/>
        <v>10.405400688707491</v>
      </c>
      <c r="R32" s="440">
        <f t="shared" si="5"/>
        <v>12.946588006733375</v>
      </c>
      <c r="S32" s="466">
        <f t="shared" si="6"/>
        <v>117529.71687601566</v>
      </c>
      <c r="T32" s="440">
        <f t="shared" si="7"/>
        <v>13813234348.956402</v>
      </c>
      <c r="U32" s="466">
        <f t="shared" si="8"/>
        <v>117711.77700052301</v>
      </c>
      <c r="V32" s="467">
        <f t="shared" si="9"/>
        <v>33037.57036317548</v>
      </c>
      <c r="W32" s="467">
        <f t="shared" si="10"/>
        <v>419403.19134560757</v>
      </c>
      <c r="X32" s="468">
        <f t="shared" si="11"/>
        <v>-0.49961303569045751</v>
      </c>
      <c r="Y32" s="468">
        <f t="shared" si="12"/>
        <v>0.49961303569045751</v>
      </c>
      <c r="Z32" s="441">
        <f t="shared" si="13"/>
        <v>9.8791699510630728</v>
      </c>
      <c r="AA32" s="471">
        <f t="shared" si="14"/>
        <v>11.703469717554881</v>
      </c>
      <c r="AB32" s="441">
        <f t="shared" si="15"/>
        <v>12.368367898989618</v>
      </c>
      <c r="AC32" s="802">
        <f t="shared" si="18"/>
        <v>90</v>
      </c>
      <c r="AD32" s="435">
        <f t="shared" si="16"/>
        <v>10.43287605854194</v>
      </c>
      <c r="AE32" s="441">
        <f t="shared" si="17"/>
        <v>12.974063376567823</v>
      </c>
      <c r="AF32" s="440"/>
    </row>
    <row r="33" spans="1:35">
      <c r="A33" s="455">
        <v>1987</v>
      </c>
      <c r="B33" s="440">
        <f t="shared" si="0"/>
        <v>1991</v>
      </c>
      <c r="C33" s="458">
        <f>LN(VLOOKUP($A33,'Brd Link'!$A$12:$E$60,3))</f>
        <v>9.9578108605616809</v>
      </c>
      <c r="D33" s="458">
        <f>VLOOKUP($A33,'Brd Tbl'!$A$8:$AX$64,12)</f>
        <v>11.980728768239114</v>
      </c>
      <c r="E33" s="461">
        <v>43</v>
      </c>
      <c r="F33" s="461">
        <v>41</v>
      </c>
      <c r="G33" s="462">
        <v>2.6144572386865779</v>
      </c>
      <c r="H33" s="462">
        <v>0.91913300037503476</v>
      </c>
      <c r="I33" s="463">
        <v>0.11232102039963707</v>
      </c>
      <c r="J33" s="461">
        <v>11.767009812121742</v>
      </c>
      <c r="K33" s="461">
        <v>0.93461182852360902</v>
      </c>
      <c r="L33" s="461">
        <v>0.62024012419680286</v>
      </c>
      <c r="M33" s="462">
        <v>0.95082334391869094</v>
      </c>
      <c r="N33" s="458">
        <f t="shared" si="1"/>
        <v>0.21371895611737202</v>
      </c>
      <c r="O33" s="440">
        <f t="shared" si="2"/>
        <v>4.5675792203899189E-2</v>
      </c>
      <c r="P33" s="465">
        <f t="shared" si="3"/>
        <v>11.767009812121742</v>
      </c>
      <c r="Q33" s="440">
        <f t="shared" si="4"/>
        <v>10.4964161531088</v>
      </c>
      <c r="R33" s="440">
        <f t="shared" si="5"/>
        <v>13.037603471134684</v>
      </c>
      <c r="S33" s="466">
        <f t="shared" si="6"/>
        <v>30720.280192209262</v>
      </c>
      <c r="T33" s="440">
        <f t="shared" si="7"/>
        <v>943735615.08784473</v>
      </c>
      <c r="U33" s="466">
        <f t="shared" si="8"/>
        <v>128928.0546823304</v>
      </c>
      <c r="V33" s="467">
        <f t="shared" si="9"/>
        <v>36185.586411934812</v>
      </c>
      <c r="W33" s="467">
        <f t="shared" si="10"/>
        <v>459366.4199590676</v>
      </c>
      <c r="X33" s="468">
        <f t="shared" si="11"/>
        <v>-0.19242468276509697</v>
      </c>
      <c r="Y33" s="468">
        <f t="shared" si="12"/>
        <v>0.19242468276509697</v>
      </c>
      <c r="Z33" s="441">
        <f t="shared" si="13"/>
        <v>9.9578108605616809</v>
      </c>
      <c r="AA33" s="471">
        <f t="shared" si="14"/>
        <v>11.776030260782594</v>
      </c>
      <c r="AB33" s="441">
        <f t="shared" si="15"/>
        <v>11.980728768239114</v>
      </c>
      <c r="AC33" s="802">
        <f t="shared" si="18"/>
        <v>91</v>
      </c>
      <c r="AD33" s="435">
        <f t="shared" si="16"/>
        <v>10.505436601769652</v>
      </c>
      <c r="AE33" s="441">
        <f t="shared" si="17"/>
        <v>13.046623919795536</v>
      </c>
      <c r="AF33" s="440"/>
    </row>
    <row r="34" spans="1:35">
      <c r="A34" s="455">
        <v>1988</v>
      </c>
      <c r="B34" s="440">
        <f t="shared" si="0"/>
        <v>1992</v>
      </c>
      <c r="C34" s="458">
        <f>LN(VLOOKUP($A34,'Brd Link'!$A$12:$E$60,3))</f>
        <v>9.0337022339175235</v>
      </c>
      <c r="D34" s="458">
        <f>VLOOKUP($A34,'Brd Tbl'!$A$8:$AX$64,12)</f>
        <v>11.393794873387254</v>
      </c>
      <c r="E34" s="461">
        <v>43</v>
      </c>
      <c r="F34" s="461">
        <v>41</v>
      </c>
      <c r="G34" s="462">
        <v>2.5921057806878487</v>
      </c>
      <c r="H34" s="462">
        <v>0.92098380727741991</v>
      </c>
      <c r="I34" s="463">
        <v>0.11096147765737133</v>
      </c>
      <c r="J34" s="461">
        <v>10.911999257891743</v>
      </c>
      <c r="K34" s="461">
        <v>0.93222223780292157</v>
      </c>
      <c r="L34" s="461">
        <v>0.62690142634674439</v>
      </c>
      <c r="M34" s="462">
        <v>0.94648726896737001</v>
      </c>
      <c r="N34" s="458">
        <f t="shared" si="1"/>
        <v>0.48179561549551053</v>
      </c>
      <c r="O34" s="440">
        <f t="shared" si="2"/>
        <v>0.23212701511069783</v>
      </c>
      <c r="P34" s="465">
        <f t="shared" si="3"/>
        <v>10.911999257891743</v>
      </c>
      <c r="Q34" s="440">
        <f t="shared" si="4"/>
        <v>9.6414055988788014</v>
      </c>
      <c r="R34" s="440">
        <f t="shared" si="5"/>
        <v>12.182592916904685</v>
      </c>
      <c r="S34" s="466">
        <f t="shared" si="6"/>
        <v>33938.830990503746</v>
      </c>
      <c r="T34" s="440">
        <f t="shared" si="7"/>
        <v>1151844249.0019774</v>
      </c>
      <c r="U34" s="466">
        <f t="shared" si="8"/>
        <v>54830.355820091325</v>
      </c>
      <c r="V34" s="467">
        <f t="shared" si="9"/>
        <v>15388.959240978638</v>
      </c>
      <c r="W34" s="467">
        <f t="shared" si="10"/>
        <v>195358.75508411817</v>
      </c>
      <c r="X34" s="468">
        <f t="shared" si="11"/>
        <v>-0.38232670828581894</v>
      </c>
      <c r="Y34" s="468">
        <f t="shared" si="12"/>
        <v>0.38232670828581894</v>
      </c>
      <c r="Z34" s="441">
        <f t="shared" si="13"/>
        <v>9.0337022339175235</v>
      </c>
      <c r="AA34" s="471">
        <f t="shared" si="14"/>
        <v>10.923371963997473</v>
      </c>
      <c r="AB34" s="441">
        <f t="shared" si="15"/>
        <v>11.393794873387254</v>
      </c>
      <c r="AC34" s="802">
        <f t="shared" si="18"/>
        <v>92</v>
      </c>
      <c r="AD34" s="435">
        <f t="shared" si="16"/>
        <v>9.6527783049845297</v>
      </c>
      <c r="AE34" s="441">
        <f t="shared" si="17"/>
        <v>12.193965623010417</v>
      </c>
      <c r="AF34" s="440"/>
    </row>
    <row r="35" spans="1:35">
      <c r="A35" s="455">
        <v>1989</v>
      </c>
      <c r="B35" s="440">
        <f t="shared" si="0"/>
        <v>1993</v>
      </c>
      <c r="C35" s="458">
        <f>LN(VLOOKUP($A35,'Brd Link'!$A$12:$E$60,3))</f>
        <v>10.020886736287892</v>
      </c>
      <c r="D35" s="458">
        <f>VLOOKUP($A35,'Brd Tbl'!$A$8:$AX$64,12)</f>
        <v>12.390944748030137</v>
      </c>
      <c r="E35" s="461">
        <v>43</v>
      </c>
      <c r="F35" s="461">
        <v>41</v>
      </c>
      <c r="G35" s="462">
        <v>2.6644475734226205</v>
      </c>
      <c r="H35" s="462">
        <v>0.91248816029955193</v>
      </c>
      <c r="I35" s="463">
        <v>0.11200603045120951</v>
      </c>
      <c r="J35" s="461">
        <v>11.808388075988141</v>
      </c>
      <c r="K35" s="461">
        <v>0.93094365554877823</v>
      </c>
      <c r="L35" s="461">
        <v>0.61814278718142746</v>
      </c>
      <c r="M35" s="462">
        <v>0.94399319312946439</v>
      </c>
      <c r="N35" s="458">
        <f t="shared" si="1"/>
        <v>0.58255667204199568</v>
      </c>
      <c r="O35" s="440">
        <f t="shared" si="2"/>
        <v>0.3393722761406453</v>
      </c>
      <c r="P35" s="465">
        <f t="shared" si="3"/>
        <v>11.808388075988141</v>
      </c>
      <c r="Q35" s="440">
        <f>$P35-(SQRT($O$60)*$Q$60)</f>
        <v>10.537794416975199</v>
      </c>
      <c r="R35" s="440">
        <f t="shared" si="5"/>
        <v>13.078981735001083</v>
      </c>
      <c r="S35" s="466">
        <f>EXP(D35)*C35-U35</f>
        <v>2276779.9563734401</v>
      </c>
      <c r="T35" s="440">
        <f t="shared" si="7"/>
        <v>5183726969743.8437</v>
      </c>
      <c r="U35" s="466">
        <f t="shared" si="8"/>
        <v>134374.7847480952</v>
      </c>
      <c r="V35" s="467">
        <f t="shared" si="9"/>
        <v>37714.292650021154</v>
      </c>
      <c r="W35" s="467">
        <f t="shared" si="10"/>
        <v>478772.94010674732</v>
      </c>
      <c r="X35" s="468">
        <f t="shared" si="11"/>
        <v>-0.44153128158527666</v>
      </c>
      <c r="Y35" s="468">
        <f t="shared" si="12"/>
        <v>0.44153128158527666</v>
      </c>
      <c r="Z35" s="441">
        <f t="shared" si="13"/>
        <v>10.020886736287892</v>
      </c>
      <c r="AA35" s="471">
        <f t="shared" si="14"/>
        <v>11.834229229187692</v>
      </c>
      <c r="AB35" s="441">
        <f t="shared" si="15"/>
        <v>12.390944748030137</v>
      </c>
      <c r="AC35" s="802">
        <f t="shared" si="18"/>
        <v>93</v>
      </c>
      <c r="AD35" s="435">
        <f t="shared" si="16"/>
        <v>10.56363557017475</v>
      </c>
      <c r="AE35" s="441">
        <f t="shared" si="17"/>
        <v>13.104822888200633</v>
      </c>
      <c r="AF35" s="440"/>
    </row>
    <row r="36" spans="1:35">
      <c r="A36" s="455">
        <v>1990</v>
      </c>
      <c r="B36" s="440">
        <f t="shared" si="0"/>
        <v>1994</v>
      </c>
      <c r="C36" s="458">
        <f>LN(VLOOKUP($A36,'Brd Link'!$A$12:$E$60,3))</f>
        <v>9.5228809197048072</v>
      </c>
      <c r="D36" s="458">
        <f>VLOOKUP($A36,'Brd Tbl'!$A$8:$AX$64,12)</f>
        <v>12.077595776693562</v>
      </c>
      <c r="E36" s="461">
        <v>43</v>
      </c>
      <c r="F36" s="461">
        <v>41</v>
      </c>
      <c r="G36" s="462">
        <v>2.6382049175490465</v>
      </c>
      <c r="H36" s="462">
        <v>0.91510711799393307</v>
      </c>
      <c r="I36" s="463">
        <v>0.11090902053863486</v>
      </c>
      <c r="J36" s="461">
        <v>11.352661030979528</v>
      </c>
      <c r="K36" s="461">
        <v>0.92851422033329756</v>
      </c>
      <c r="L36" s="461">
        <v>0.62412399111831329</v>
      </c>
      <c r="M36" s="462">
        <v>0.93966393477125898</v>
      </c>
      <c r="N36" s="458">
        <f t="shared" si="1"/>
        <v>0.72493474571403382</v>
      </c>
      <c r="O36" s="440">
        <f t="shared" si="2"/>
        <v>0.52553038554347087</v>
      </c>
      <c r="P36" s="465">
        <f t="shared" si="3"/>
        <v>11.352661030979528</v>
      </c>
      <c r="Q36" s="440">
        <f>$P36-(SQRT($O$60)*$Q$60)</f>
        <v>10.082067371966584</v>
      </c>
      <c r="R36" s="440">
        <f t="shared" si="5"/>
        <v>12.623254689992471</v>
      </c>
      <c r="S36" s="466">
        <f>EXP(D36)*C36-U36</f>
        <v>1589757.0215872768</v>
      </c>
      <c r="T36" s="440">
        <f t="shared" si="7"/>
        <v>2527327387686.0493</v>
      </c>
      <c r="U36" s="466">
        <f t="shared" si="8"/>
        <v>85191.848297403834</v>
      </c>
      <c r="V36" s="467">
        <f t="shared" si="9"/>
        <v>23910.366101107622</v>
      </c>
      <c r="W36" s="467">
        <f t="shared" si="10"/>
        <v>303535.75456093356</v>
      </c>
      <c r="X36" s="468">
        <f t="shared" si="11"/>
        <v>-0.5156438257595356</v>
      </c>
      <c r="Y36" s="468">
        <f t="shared" si="12"/>
        <v>0.5156438257595356</v>
      </c>
      <c r="Z36" s="441">
        <f t="shared" si="13"/>
        <v>9.5228809197048072</v>
      </c>
      <c r="AA36" s="471">
        <f t="shared" si="14"/>
        <v>11.37472827971725</v>
      </c>
      <c r="AB36" s="441">
        <f t="shared" si="15"/>
        <v>12.077595776693562</v>
      </c>
      <c r="AC36" s="802">
        <f t="shared" si="18"/>
        <v>94</v>
      </c>
      <c r="AD36" s="435">
        <f t="shared" si="16"/>
        <v>10.104134620704308</v>
      </c>
      <c r="AE36" s="441">
        <f t="shared" si="17"/>
        <v>12.645321938730191</v>
      </c>
      <c r="AF36" s="440"/>
    </row>
    <row r="37" spans="1:35" ht="18">
      <c r="A37" s="455">
        <v>1991</v>
      </c>
      <c r="B37" s="440">
        <f t="shared" si="0"/>
        <v>1995</v>
      </c>
      <c r="C37" s="458">
        <f>LN(VLOOKUP($A37,'Brd Link'!$A$12:$E$60,3))</f>
        <v>9.8274011161828199</v>
      </c>
      <c r="D37" s="458">
        <f>VLOOKUP($A37,'Brd Tbl'!$A$8:$AX$64,12)</f>
        <v>11.444517861693397</v>
      </c>
      <c r="E37" s="461">
        <v>43</v>
      </c>
      <c r="F37" s="461">
        <v>41</v>
      </c>
      <c r="G37" s="462">
        <v>2.5646614927156044</v>
      </c>
      <c r="H37" s="462">
        <v>0.92592239355673989</v>
      </c>
      <c r="I37" s="463">
        <v>0.11207785272943266</v>
      </c>
      <c r="J37" s="461">
        <v>11.664072256653778</v>
      </c>
      <c r="K37" s="461">
        <v>0.93457765700326878</v>
      </c>
      <c r="L37" s="461">
        <v>0.62471769230404062</v>
      </c>
      <c r="M37" s="462">
        <v>0.95076454531072541</v>
      </c>
      <c r="N37" s="458">
        <f t="shared" si="1"/>
        <v>-0.21955439496038132</v>
      </c>
      <c r="O37" s="440">
        <f t="shared" si="2"/>
        <v>4.8204132346419112E-2</v>
      </c>
      <c r="P37" s="465">
        <f t="shared" si="3"/>
        <v>11.664072256653778</v>
      </c>
      <c r="Q37" s="440">
        <f>$P37-(SQRT($O$60)*$Q$60)</f>
        <v>10.393478597640836</v>
      </c>
      <c r="R37" s="440">
        <f t="shared" si="5"/>
        <v>12.93466591566672</v>
      </c>
      <c r="S37" s="466">
        <f>EXP(D37)*C37-U37</f>
        <v>801444.34452491847</v>
      </c>
      <c r="T37" s="440">
        <f t="shared" si="7"/>
        <v>642313037370.9762</v>
      </c>
      <c r="U37" s="466">
        <f t="shared" si="8"/>
        <v>116316.73888498447</v>
      </c>
      <c r="V37" s="467">
        <f t="shared" si="9"/>
        <v>32646.03205599988</v>
      </c>
      <c r="W37" s="467">
        <f t="shared" si="10"/>
        <v>414432.71640576341</v>
      </c>
      <c r="X37" s="468">
        <f t="shared" si="11"/>
        <v>0.2455215962110032</v>
      </c>
      <c r="Y37" s="468">
        <f t="shared" si="12"/>
        <v>0.2455215962110032</v>
      </c>
      <c r="Z37" s="441">
        <f t="shared" si="13"/>
        <v>9.8274011161828199</v>
      </c>
      <c r="AA37" s="471">
        <f t="shared" si="14"/>
        <v>11.655703550999503</v>
      </c>
      <c r="AB37" s="441">
        <f t="shared" si="15"/>
        <v>11.444517861693397</v>
      </c>
      <c r="AC37" s="802">
        <f t="shared" si="18"/>
        <v>95</v>
      </c>
      <c r="AD37" s="435">
        <f t="shared" si="16"/>
        <v>10.385109891986559</v>
      </c>
      <c r="AE37" s="441">
        <f t="shared" si="17"/>
        <v>12.926297210012446</v>
      </c>
      <c r="AF37" s="440"/>
      <c r="AH37" s="54" t="s">
        <v>584</v>
      </c>
      <c r="AI37" s="440">
        <f>ROUND(L58,5)</f>
        <v>0.62648999999999999</v>
      </c>
    </row>
    <row r="38" spans="1:35">
      <c r="A38" s="455">
        <v>1992</v>
      </c>
      <c r="B38" s="440">
        <f t="shared" si="0"/>
        <v>1996</v>
      </c>
      <c r="C38" s="458">
        <f>LN(VLOOKUP($A38,'Brd Link'!$A$12:$E$60,3))</f>
        <v>9.513384005096821</v>
      </c>
      <c r="D38" s="458">
        <f>VLOOKUP($A38,'Brd Tbl'!$A$8:$AX$64,12)</f>
        <v>11.63141771270136</v>
      </c>
      <c r="E38" s="461">
        <v>43</v>
      </c>
      <c r="F38" s="461">
        <v>41</v>
      </c>
      <c r="G38" s="462">
        <v>2.6067199807970365</v>
      </c>
      <c r="H38" s="462">
        <v>0.91985850600161667</v>
      </c>
      <c r="I38" s="463">
        <v>0.11158094574591151</v>
      </c>
      <c r="J38" s="461">
        <v>11.357687178745074</v>
      </c>
      <c r="K38" s="461">
        <v>0.93423446796834797</v>
      </c>
      <c r="L38" s="461">
        <v>0.62371977817055868</v>
      </c>
      <c r="M38" s="462">
        <v>0.95014305059273518</v>
      </c>
      <c r="N38" s="458">
        <f t="shared" si="1"/>
        <v>0.27373053395628588</v>
      </c>
      <c r="O38" s="440">
        <f t="shared" si="2"/>
        <v>7.4928405219993374E-2</v>
      </c>
      <c r="P38" s="465">
        <f t="shared" si="3"/>
        <v>11.357687178745074</v>
      </c>
      <c r="Q38" s="440">
        <f t="shared" ref="Q38:Q56" si="19">$P38-SQRT($O$60)*$Q$60</f>
        <v>10.087093519732132</v>
      </c>
      <c r="R38" s="440">
        <f t="shared" si="5"/>
        <v>12.628280837758016</v>
      </c>
      <c r="S38" s="466">
        <f t="shared" ref="S38:S55" si="20">EXP(D38)-U38</f>
        <v>26958.701672259136</v>
      </c>
      <c r="T38" s="440">
        <f t="shared" si="7"/>
        <v>726771595.85386753</v>
      </c>
      <c r="U38" s="466">
        <f t="shared" si="8"/>
        <v>85621.112985564119</v>
      </c>
      <c r="V38" s="467">
        <f t="shared" si="9"/>
        <v>24030.845654648503</v>
      </c>
      <c r="W38" s="467">
        <f t="shared" si="10"/>
        <v>305065.21053155861</v>
      </c>
      <c r="X38" s="468">
        <f t="shared" si="11"/>
        <v>-0.23946301345581186</v>
      </c>
      <c r="Y38" s="468">
        <f t="shared" si="12"/>
        <v>0.23946301345581186</v>
      </c>
      <c r="Z38" s="441">
        <f t="shared" si="13"/>
        <v>9.513384005096821</v>
      </c>
      <c r="AA38" s="471">
        <f t="shared" si="14"/>
        <v>11.36596564857099</v>
      </c>
      <c r="AB38" s="441">
        <f t="shared" si="15"/>
        <v>11.63141771270136</v>
      </c>
      <c r="AC38" s="802">
        <f t="shared" si="18"/>
        <v>96</v>
      </c>
      <c r="AD38" s="435">
        <f t="shared" si="16"/>
        <v>10.095371989558046</v>
      </c>
      <c r="AE38" s="441">
        <f t="shared" si="17"/>
        <v>12.636559307583934</v>
      </c>
      <c r="AF38" s="440"/>
      <c r="AH38" s="54" t="s">
        <v>202</v>
      </c>
      <c r="AI38" s="440">
        <f t="shared" ref="AI38" si="21">ROUND(H58,5)</f>
        <v>0.92267999999999994</v>
      </c>
    </row>
    <row r="39" spans="1:35">
      <c r="A39" s="455">
        <v>1993</v>
      </c>
      <c r="B39" s="440">
        <f t="shared" si="0"/>
        <v>1997</v>
      </c>
      <c r="C39" s="458">
        <f>LN(VLOOKUP($A39,'Brd Link'!$A$12:$E$60,3))</f>
        <v>10.703712104979081</v>
      </c>
      <c r="D39" s="458">
        <f>VLOOKUP($A39,'Brd Tbl'!$A$8:$AX$64,12)</f>
        <v>13.595628383617642</v>
      </c>
      <c r="E39" s="461">
        <v>43</v>
      </c>
      <c r="F39" s="461">
        <v>41</v>
      </c>
      <c r="G39" s="462">
        <v>2.8521629883576889</v>
      </c>
      <c r="H39" s="462">
        <v>0.88946306162089017</v>
      </c>
      <c r="I39" s="463">
        <v>0.11212754901569542</v>
      </c>
      <c r="J39" s="461">
        <v>12.372719527960966</v>
      </c>
      <c r="K39" s="461">
        <v>0.91696287397543774</v>
      </c>
      <c r="L39" s="461">
        <v>0.60548909821609831</v>
      </c>
      <c r="M39" s="462">
        <v>0.91710636073172291</v>
      </c>
      <c r="N39" s="458">
        <f t="shared" si="1"/>
        <v>1.2229088556566765</v>
      </c>
      <c r="O39" s="440">
        <f t="shared" si="2"/>
        <v>1.495506069243522</v>
      </c>
      <c r="P39" s="465">
        <f t="shared" si="3"/>
        <v>12.372719527960966</v>
      </c>
      <c r="Q39" s="440">
        <f t="shared" si="19"/>
        <v>11.102125868948022</v>
      </c>
      <c r="R39" s="440">
        <f t="shared" si="5"/>
        <v>13.643313186973909</v>
      </c>
      <c r="S39" s="466">
        <f t="shared" si="20"/>
        <v>566345.95267828822</v>
      </c>
      <c r="T39" s="440">
        <f t="shared" si="7"/>
        <v>320747738115.07788</v>
      </c>
      <c r="U39" s="466">
        <f t="shared" si="8"/>
        <v>236267.40815675698</v>
      </c>
      <c r="V39" s="467">
        <f t="shared" si="9"/>
        <v>66311.981013329379</v>
      </c>
      <c r="W39" s="467">
        <f t="shared" si="10"/>
        <v>841813.00730392511</v>
      </c>
      <c r="X39" s="468">
        <f t="shared" si="11"/>
        <v>-0.70562736719091923</v>
      </c>
      <c r="Y39" s="468">
        <f t="shared" si="12"/>
        <v>0.70562736719091923</v>
      </c>
      <c r="Z39" s="441">
        <f t="shared" si="13"/>
        <v>10.703712104979081</v>
      </c>
      <c r="AA39" s="471">
        <f t="shared" si="14"/>
        <v>12.464259832823744</v>
      </c>
      <c r="AB39" s="441">
        <f t="shared" si="15"/>
        <v>13.595628383617642</v>
      </c>
      <c r="AC39" s="802">
        <f t="shared" si="18"/>
        <v>97</v>
      </c>
      <c r="AD39" s="435">
        <f t="shared" si="16"/>
        <v>11.193666173810801</v>
      </c>
      <c r="AE39" s="441">
        <f t="shared" si="17"/>
        <v>13.734853491836688</v>
      </c>
      <c r="AF39" s="440"/>
      <c r="AH39" s="54"/>
      <c r="AI39" s="475"/>
    </row>
    <row r="40" spans="1:35">
      <c r="A40" s="455">
        <v>1994</v>
      </c>
      <c r="B40" s="440">
        <f t="shared" si="0"/>
        <v>1998</v>
      </c>
      <c r="C40" s="458">
        <f>LN(VLOOKUP($A40,'Brd Link'!$A$12:$E$60,3))</f>
        <v>10.370804463928135</v>
      </c>
      <c r="D40" s="458">
        <f>VLOOKUP($A40,'Brd Tbl'!$A$8:$AX$64,12)</f>
        <v>11.632204798551918</v>
      </c>
      <c r="E40" s="461">
        <v>43</v>
      </c>
      <c r="F40" s="461">
        <v>41</v>
      </c>
      <c r="G40" s="462">
        <v>2.4908702819672612</v>
      </c>
      <c r="H40" s="462">
        <v>0.93519641648402063</v>
      </c>
      <c r="I40" s="463">
        <v>0.11288472931488636</v>
      </c>
      <c r="J40" s="461">
        <v>12.189609452689337</v>
      </c>
      <c r="K40" s="461">
        <v>0.9313593980779199</v>
      </c>
      <c r="L40" s="461">
        <v>0.62602624709973353</v>
      </c>
      <c r="M40" s="462">
        <v>0.94465999144775703</v>
      </c>
      <c r="N40" s="458">
        <f t="shared" si="1"/>
        <v>-0.5574046541374198</v>
      </c>
      <c r="O40" s="440">
        <f t="shared" si="2"/>
        <v>0.31069994845405657</v>
      </c>
      <c r="P40" s="465">
        <f t="shared" si="3"/>
        <v>12.189609452689337</v>
      </c>
      <c r="Q40" s="440">
        <f t="shared" si="19"/>
        <v>10.919015793676394</v>
      </c>
      <c r="R40" s="440">
        <f t="shared" si="5"/>
        <v>13.460203111702281</v>
      </c>
      <c r="S40" s="466">
        <f t="shared" si="20"/>
        <v>-84065.857458209342</v>
      </c>
      <c r="T40" s="440">
        <f t="shared" si="7"/>
        <v>7067068390.1839714</v>
      </c>
      <c r="U40" s="466">
        <f t="shared" si="8"/>
        <v>196734.31697618944</v>
      </c>
      <c r="V40" s="467">
        <f t="shared" si="9"/>
        <v>55216.427833922142</v>
      </c>
      <c r="W40" s="467">
        <f t="shared" si="10"/>
        <v>700957.90318963351</v>
      </c>
      <c r="X40" s="468">
        <f t="shared" si="11"/>
        <v>0.74613479067576816</v>
      </c>
      <c r="Y40" s="468">
        <f t="shared" si="12"/>
        <v>0.74613479067576816</v>
      </c>
      <c r="Z40" s="441">
        <f t="shared" si="13"/>
        <v>10.370804463928135</v>
      </c>
      <c r="AA40" s="471">
        <f t="shared" si="14"/>
        <v>12.157091980451172</v>
      </c>
      <c r="AB40" s="441">
        <f t="shared" si="15"/>
        <v>11.632204798551918</v>
      </c>
      <c r="AC40" s="802">
        <f t="shared" si="18"/>
        <v>98</v>
      </c>
      <c r="AD40" s="435">
        <f t="shared" si="16"/>
        <v>10.886498321438228</v>
      </c>
      <c r="AE40" s="441">
        <f t="shared" si="17"/>
        <v>13.427685639464116</v>
      </c>
      <c r="AF40" s="440"/>
      <c r="AH40" s="54"/>
      <c r="AI40" s="475"/>
    </row>
    <row r="41" spans="1:35">
      <c r="A41" s="455">
        <v>1995</v>
      </c>
      <c r="B41" s="440">
        <f t="shared" si="0"/>
        <v>1999</v>
      </c>
      <c r="C41" s="458">
        <f>LN(VLOOKUP($A41,'Brd Link'!$A$12:$E$60,3))</f>
        <v>9.8172462216092899</v>
      </c>
      <c r="D41" s="458">
        <f>VLOOKUP($A41,'Brd Tbl'!$A$8:$AX$64,12)</f>
        <v>11.530092281583716</v>
      </c>
      <c r="E41" s="461">
        <v>43</v>
      </c>
      <c r="F41" s="461">
        <v>41</v>
      </c>
      <c r="G41" s="462">
        <v>2.5753727617240756</v>
      </c>
      <c r="H41" s="462">
        <v>0.92444762125355884</v>
      </c>
      <c r="I41" s="463">
        <v>0.11211104040746912</v>
      </c>
      <c r="J41" s="461">
        <v>11.650902678551272</v>
      </c>
      <c r="K41" s="461">
        <v>0.93499934571993504</v>
      </c>
      <c r="L41" s="461">
        <v>0.6238310250074024</v>
      </c>
      <c r="M41" s="462">
        <v>0.95154614950446859</v>
      </c>
      <c r="N41" s="458">
        <f t="shared" si="1"/>
        <v>-0.12081039696755624</v>
      </c>
      <c r="O41" s="440">
        <f t="shared" si="2"/>
        <v>1.4595152015458523E-2</v>
      </c>
      <c r="P41" s="465">
        <f t="shared" si="3"/>
        <v>11.650902678551272</v>
      </c>
      <c r="Q41" s="440">
        <f t="shared" si="19"/>
        <v>10.380309019538331</v>
      </c>
      <c r="R41" s="440">
        <f t="shared" si="5"/>
        <v>12.921496337564214</v>
      </c>
      <c r="S41" s="466">
        <f t="shared" si="20"/>
        <v>-13063.437910379071</v>
      </c>
      <c r="T41" s="440">
        <f t="shared" si="7"/>
        <v>170653410.03832909</v>
      </c>
      <c r="U41" s="466">
        <f t="shared" si="8"/>
        <v>114794.9392320363</v>
      </c>
      <c r="V41" s="467">
        <f t="shared" si="9"/>
        <v>32218.916227880934</v>
      </c>
      <c r="W41" s="467">
        <f t="shared" si="10"/>
        <v>409010.5942757724</v>
      </c>
      <c r="X41" s="468">
        <f t="shared" si="11"/>
        <v>0.12841094194682887</v>
      </c>
      <c r="Y41" s="468">
        <f t="shared" si="12"/>
        <v>0.12841094194682887</v>
      </c>
      <c r="Z41" s="441">
        <f t="shared" si="13"/>
        <v>9.8172462216092899</v>
      </c>
      <c r="AA41" s="471">
        <f t="shared" si="14"/>
        <v>11.646333813653211</v>
      </c>
      <c r="AB41" s="441">
        <f t="shared" si="15"/>
        <v>11.530092281583716</v>
      </c>
      <c r="AC41" s="802">
        <f t="shared" si="18"/>
        <v>99</v>
      </c>
      <c r="AD41" s="435">
        <f t="shared" si="16"/>
        <v>10.375740154640269</v>
      </c>
      <c r="AE41" s="441">
        <f t="shared" si="17"/>
        <v>12.916927472666153</v>
      </c>
      <c r="AF41" s="440"/>
      <c r="AH41" s="54"/>
      <c r="AI41" s="475"/>
    </row>
    <row r="42" spans="1:35">
      <c r="A42" s="455">
        <v>1996</v>
      </c>
      <c r="B42" s="440">
        <f t="shared" si="0"/>
        <v>2000</v>
      </c>
      <c r="C42" s="458">
        <f>LN(VLOOKUP($A42,'Brd Link'!$A$12:$E$60,3))</f>
        <v>10.014126591359842</v>
      </c>
      <c r="D42" s="458">
        <f>VLOOKUP($A42,'Brd Tbl'!$A$8:$AX$64,12)</f>
        <v>11.098819997280653</v>
      </c>
      <c r="E42" s="461">
        <v>43</v>
      </c>
      <c r="F42" s="461">
        <v>41</v>
      </c>
      <c r="G42" s="462">
        <v>2.4888567145700993</v>
      </c>
      <c r="H42" s="462">
        <v>0.93595709183651843</v>
      </c>
      <c r="I42" s="463">
        <v>0.11162613411111194</v>
      </c>
      <c r="J42" s="461">
        <v>11.861649516302004</v>
      </c>
      <c r="K42" s="461">
        <v>0.92790065007089462</v>
      </c>
      <c r="L42" s="461">
        <v>0.63163951394661522</v>
      </c>
      <c r="M42" s="462">
        <v>0.93835280710737834</v>
      </c>
      <c r="N42" s="458">
        <f t="shared" si="1"/>
        <v>-0.76282951902135032</v>
      </c>
      <c r="O42" s="440">
        <f t="shared" si="2"/>
        <v>0.58190887509034472</v>
      </c>
      <c r="P42" s="465">
        <f t="shared" si="3"/>
        <v>11.861649516302004</v>
      </c>
      <c r="Q42" s="440">
        <f t="shared" si="19"/>
        <v>10.59105585728906</v>
      </c>
      <c r="R42" s="440">
        <f t="shared" si="5"/>
        <v>13.132243175314947</v>
      </c>
      <c r="S42" s="466">
        <f t="shared" si="20"/>
        <v>-75632.680520733033</v>
      </c>
      <c r="T42" s="440">
        <f t="shared" si="7"/>
        <v>5720302362.7512703</v>
      </c>
      <c r="U42" s="466">
        <f t="shared" si="8"/>
        <v>141725.80459062767</v>
      </c>
      <c r="V42" s="467">
        <f t="shared" si="9"/>
        <v>39777.466288863405</v>
      </c>
      <c r="W42" s="467">
        <f t="shared" si="10"/>
        <v>504964.3821201442</v>
      </c>
      <c r="X42" s="468">
        <f t="shared" si="11"/>
        <v>1.144335081524519</v>
      </c>
      <c r="Y42" s="468">
        <f t="shared" si="12"/>
        <v>1.144335081524519</v>
      </c>
      <c r="Z42" s="441">
        <f t="shared" si="13"/>
        <v>10.014126591359842</v>
      </c>
      <c r="AA42" s="471">
        <f t="shared" si="14"/>
        <v>11.827991765869875</v>
      </c>
      <c r="AB42" s="441">
        <f t="shared" si="15"/>
        <v>11.098819997280653</v>
      </c>
      <c r="AC42" s="799" t="s">
        <v>315</v>
      </c>
      <c r="AD42" s="435">
        <f t="shared" si="16"/>
        <v>10.557398106856933</v>
      </c>
      <c r="AE42" s="441">
        <f t="shared" si="17"/>
        <v>13.098585424882817</v>
      </c>
      <c r="AF42" s="440"/>
      <c r="AH42" s="54"/>
      <c r="AI42" s="475"/>
    </row>
    <row r="43" spans="1:35">
      <c r="A43" s="455">
        <v>1997</v>
      </c>
      <c r="B43" s="440">
        <f t="shared" si="0"/>
        <v>2001</v>
      </c>
      <c r="C43" s="458">
        <f>LN(VLOOKUP($A43,'Brd Link'!$A$12:$E$60,3))</f>
        <v>10.120840311840142</v>
      </c>
      <c r="D43" s="458">
        <f>VLOOKUP($A43,'Brd Tbl'!$A$8:$AX$64,12)</f>
        <v>11.988035255548843</v>
      </c>
      <c r="E43" s="461">
        <v>43</v>
      </c>
      <c r="F43" s="461">
        <v>41</v>
      </c>
      <c r="G43" s="462">
        <v>2.5974156138791891</v>
      </c>
      <c r="H43" s="462">
        <v>0.92145848917242779</v>
      </c>
      <c r="I43" s="463">
        <v>0.11272462809643131</v>
      </c>
      <c r="J43" s="461">
        <v>11.92334983678281</v>
      </c>
      <c r="K43" s="461">
        <v>0.9351305458680832</v>
      </c>
      <c r="L43" s="461">
        <v>0.6197406446075997</v>
      </c>
      <c r="M43" s="462">
        <v>0.95178826458852728</v>
      </c>
      <c r="N43" s="458">
        <f t="shared" si="1"/>
        <v>6.4685418766032399E-2</v>
      </c>
      <c r="O43" s="440">
        <f t="shared" si="2"/>
        <v>4.1842034009369764E-3</v>
      </c>
      <c r="P43" s="465">
        <f t="shared" si="3"/>
        <v>11.92334983678281</v>
      </c>
      <c r="Q43" s="440">
        <f t="shared" si="19"/>
        <v>10.652756177769866</v>
      </c>
      <c r="R43" s="440">
        <f t="shared" si="5"/>
        <v>13.193943495795754</v>
      </c>
      <c r="S43" s="466">
        <f t="shared" si="20"/>
        <v>10073.338017754111</v>
      </c>
      <c r="T43" s="440">
        <f t="shared" si="7"/>
        <v>101472138.81993033</v>
      </c>
      <c r="U43" s="466">
        <f t="shared" si="8"/>
        <v>150745.73718092364</v>
      </c>
      <c r="V43" s="467">
        <f t="shared" si="9"/>
        <v>42309.045245671434</v>
      </c>
      <c r="W43" s="467">
        <f t="shared" si="10"/>
        <v>537102.10538359976</v>
      </c>
      <c r="X43" s="468">
        <f t="shared" si="11"/>
        <v>-6.263770641206208E-2</v>
      </c>
      <c r="Y43" s="468">
        <f t="shared" si="12"/>
        <v>6.263770641206208E-2</v>
      </c>
      <c r="Z43" s="441">
        <f t="shared" si="13"/>
        <v>10.120840311840142</v>
      </c>
      <c r="AA43" s="471">
        <f t="shared" si="14"/>
        <v>11.926454583470401</v>
      </c>
      <c r="AB43" s="441">
        <f t="shared" si="15"/>
        <v>11.988035255548843</v>
      </c>
      <c r="AC43" s="799" t="s">
        <v>316</v>
      </c>
      <c r="AD43" s="435">
        <f t="shared" si="16"/>
        <v>10.655860924457457</v>
      </c>
      <c r="AE43" s="441">
        <f t="shared" si="17"/>
        <v>13.197048242483344</v>
      </c>
      <c r="AF43" s="440"/>
      <c r="AH43" s="54"/>
      <c r="AI43" s="475"/>
    </row>
    <row r="44" spans="1:35">
      <c r="A44" s="455">
        <v>1998</v>
      </c>
      <c r="B44" s="440">
        <f t="shared" si="0"/>
        <v>2002</v>
      </c>
      <c r="C44" s="458">
        <f>LN(VLOOKUP($A44,'Brd Link'!$A$12:$E$60,3))</f>
        <v>8.4335163157424642</v>
      </c>
      <c r="D44" s="458">
        <f>VLOOKUP($A44,'Brd Tbl'!$A$8:$AX$64,12)</f>
        <v>10.947893925516528</v>
      </c>
      <c r="E44" s="461">
        <v>43</v>
      </c>
      <c r="F44" s="461">
        <v>41</v>
      </c>
      <c r="G44" s="462">
        <v>2.5487769082610203</v>
      </c>
      <c r="H44" s="462">
        <v>0.9256289000576996</v>
      </c>
      <c r="I44" s="463">
        <v>0.11082972280745275</v>
      </c>
      <c r="J44" s="461">
        <v>10.35508333922038</v>
      </c>
      <c r="K44" s="461">
        <v>0.93070120555139335</v>
      </c>
      <c r="L44" s="461">
        <v>0.62980602281025588</v>
      </c>
      <c r="M44" s="462">
        <v>0.94371291138332158</v>
      </c>
      <c r="N44" s="458">
        <f t="shared" si="1"/>
        <v>0.59281058629614769</v>
      </c>
      <c r="O44" s="440">
        <f t="shared" si="2"/>
        <v>0.35142439122478236</v>
      </c>
      <c r="P44" s="465">
        <f t="shared" si="3"/>
        <v>10.35508333922038</v>
      </c>
      <c r="Q44" s="440">
        <f t="shared" si="19"/>
        <v>9.0844896802074366</v>
      </c>
      <c r="R44" s="440">
        <f t="shared" si="5"/>
        <v>11.625676998233324</v>
      </c>
      <c r="S44" s="466">
        <f t="shared" si="20"/>
        <v>25417.884624444934</v>
      </c>
      <c r="T44" s="440">
        <f t="shared" si="7"/>
        <v>646068858.78159416</v>
      </c>
      <c r="U44" s="466">
        <f t="shared" si="8"/>
        <v>31416.337502723876</v>
      </c>
      <c r="V44" s="467">
        <f t="shared" si="9"/>
        <v>8817.4648896422241</v>
      </c>
      <c r="W44" s="467">
        <f t="shared" si="10"/>
        <v>111935.37762134513</v>
      </c>
      <c r="X44" s="468">
        <f t="shared" si="11"/>
        <v>-0.44722851256011592</v>
      </c>
      <c r="Y44" s="468">
        <f t="shared" si="12"/>
        <v>0.44722851256011592</v>
      </c>
      <c r="Z44" s="441">
        <f t="shared" si="13"/>
        <v>8.4335163157424642</v>
      </c>
      <c r="AA44" s="471">
        <f t="shared" si="14"/>
        <v>10.36959128498362</v>
      </c>
      <c r="AB44" s="441">
        <f t="shared" si="15"/>
        <v>10.947893925516528</v>
      </c>
      <c r="AC44" s="799" t="s">
        <v>324</v>
      </c>
      <c r="AD44" s="435">
        <f t="shared" si="16"/>
        <v>9.0989976259706786</v>
      </c>
      <c r="AE44" s="441">
        <f t="shared" si="17"/>
        <v>11.640184943996562</v>
      </c>
      <c r="AF44" s="440"/>
      <c r="AH44" s="54"/>
      <c r="AI44" s="440"/>
    </row>
    <row r="45" spans="1:35">
      <c r="A45" s="455">
        <v>1999</v>
      </c>
      <c r="B45" s="440">
        <f t="shared" si="0"/>
        <v>2003</v>
      </c>
      <c r="C45" s="458">
        <f>LN(VLOOKUP($A45,'Brd Link'!$A$12:$E$60,3))</f>
        <v>9.7586433656476288</v>
      </c>
      <c r="D45" s="458">
        <f>VLOOKUP($A45,'Brd Tbl'!$A$8:$AX$64,12)</f>
        <v>11.171887521512488</v>
      </c>
      <c r="E45" s="461">
        <v>43</v>
      </c>
      <c r="F45" s="461">
        <v>41</v>
      </c>
      <c r="G45" s="462">
        <v>2.5452306570145939</v>
      </c>
      <c r="H45" s="462">
        <v>0.9286946299663843</v>
      </c>
      <c r="I45" s="463">
        <v>0.11174934366573806</v>
      </c>
      <c r="J45" s="461">
        <v>11.608030346448629</v>
      </c>
      <c r="K45" s="461">
        <v>0.93278856387682951</v>
      </c>
      <c r="L45" s="461">
        <v>0.62749170966458756</v>
      </c>
      <c r="M45" s="462">
        <v>0.94746183760382163</v>
      </c>
      <c r="N45" s="458">
        <f t="shared" si="1"/>
        <v>-0.43614282493614098</v>
      </c>
      <c r="O45" s="440">
        <f t="shared" si="2"/>
        <v>0.19022056374327731</v>
      </c>
      <c r="P45" s="465">
        <f t="shared" si="3"/>
        <v>11.608030346448629</v>
      </c>
      <c r="Q45" s="440">
        <f t="shared" si="19"/>
        <v>10.337436687435687</v>
      </c>
      <c r="R45" s="440">
        <f t="shared" si="5"/>
        <v>12.878624005461571</v>
      </c>
      <c r="S45" s="466">
        <f t="shared" si="20"/>
        <v>-38874.226633634185</v>
      </c>
      <c r="T45" s="440">
        <f t="shared" si="7"/>
        <v>1511205496.3631535</v>
      </c>
      <c r="U45" s="466">
        <f t="shared" si="8"/>
        <v>109977.41950209686</v>
      </c>
      <c r="V45" s="467">
        <f t="shared" si="9"/>
        <v>30866.807279146324</v>
      </c>
      <c r="W45" s="467">
        <f t="shared" si="10"/>
        <v>391845.92986757087</v>
      </c>
      <c r="X45" s="468">
        <f t="shared" si="11"/>
        <v>0.54672969054356735</v>
      </c>
      <c r="Y45" s="468">
        <f t="shared" si="12"/>
        <v>0.54672969054356735</v>
      </c>
      <c r="Z45" s="441">
        <f t="shared" si="13"/>
        <v>9.7586433656476288</v>
      </c>
      <c r="AA45" s="471">
        <f t="shared" si="14"/>
        <v>11.592262019591002</v>
      </c>
      <c r="AB45" s="441">
        <f t="shared" si="15"/>
        <v>11.171887521512488</v>
      </c>
      <c r="AC45" s="799" t="s">
        <v>349</v>
      </c>
      <c r="AD45" s="435">
        <f t="shared" si="16"/>
        <v>10.321668360578059</v>
      </c>
      <c r="AE45" s="441">
        <f t="shared" si="17"/>
        <v>12.862855678603946</v>
      </c>
      <c r="AF45" s="440"/>
      <c r="AH45" s="54"/>
      <c r="AI45" s="440"/>
    </row>
    <row r="46" spans="1:35">
      <c r="A46" s="455">
        <v>2000</v>
      </c>
      <c r="B46" s="440">
        <f t="shared" si="0"/>
        <v>2004</v>
      </c>
      <c r="C46" s="458">
        <f>LN(VLOOKUP($A46,'Brd Link'!$A$12:$E$60,3))</f>
        <v>9.7199100839773536</v>
      </c>
      <c r="D46" s="458">
        <f>VLOOKUP($A46,'Brd Tbl'!$A$8:$AX$64,12)</f>
        <v>11.489160711917497</v>
      </c>
      <c r="E46" s="461">
        <v>43</v>
      </c>
      <c r="F46" s="461">
        <v>41</v>
      </c>
      <c r="G46" s="462">
        <v>2.5816064464835531</v>
      </c>
      <c r="H46" s="462">
        <v>0.92360607992522969</v>
      </c>
      <c r="I46" s="463">
        <v>0.11196801046561507</v>
      </c>
      <c r="J46" s="461">
        <v>11.558974496371587</v>
      </c>
      <c r="K46" s="461">
        <v>0.93512116300247172</v>
      </c>
      <c r="L46" s="461">
        <v>0.62400272389492273</v>
      </c>
      <c r="M46" s="462">
        <v>0.95177222363273961</v>
      </c>
      <c r="N46" s="458">
        <f t="shared" si="1"/>
        <v>-6.9813784454089145E-2</v>
      </c>
      <c r="O46" s="440">
        <f t="shared" si="2"/>
        <v>4.8739644998020189E-3</v>
      </c>
      <c r="P46" s="465">
        <f t="shared" si="3"/>
        <v>11.558974496371587</v>
      </c>
      <c r="Q46" s="440">
        <f t="shared" si="19"/>
        <v>10.288380837358645</v>
      </c>
      <c r="R46" s="440">
        <f t="shared" si="5"/>
        <v>12.829568155384528</v>
      </c>
      <c r="S46" s="466">
        <f t="shared" si="20"/>
        <v>-7061.034673399161</v>
      </c>
      <c r="T46" s="440">
        <f t="shared" si="7"/>
        <v>49858210.658945195</v>
      </c>
      <c r="U46" s="466">
        <f t="shared" si="8"/>
        <v>104712.57517412776</v>
      </c>
      <c r="V46" s="467">
        <f t="shared" si="9"/>
        <v>29389.149993115618</v>
      </c>
      <c r="W46" s="467">
        <f t="shared" si="10"/>
        <v>373087.46262364974</v>
      </c>
      <c r="X46" s="468">
        <f t="shared" si="11"/>
        <v>7.2308482151866069E-2</v>
      </c>
      <c r="Y46" s="468">
        <f t="shared" si="12"/>
        <v>7.2308482151866069E-2</v>
      </c>
      <c r="Z46" s="441">
        <f t="shared" si="13"/>
        <v>9.7199100839773536</v>
      </c>
      <c r="AA46" s="471">
        <f t="shared" si="14"/>
        <v>11.556523521945104</v>
      </c>
      <c r="AB46" s="441">
        <f t="shared" si="15"/>
        <v>11.489160711917497</v>
      </c>
      <c r="AC46" s="799" t="s">
        <v>350</v>
      </c>
      <c r="AD46" s="435">
        <f t="shared" si="16"/>
        <v>10.285929862932161</v>
      </c>
      <c r="AE46" s="441">
        <f t="shared" si="17"/>
        <v>12.827117180958048</v>
      </c>
      <c r="AF46" s="440"/>
      <c r="AH46" s="54"/>
      <c r="AI46" s="440"/>
    </row>
    <row r="47" spans="1:35">
      <c r="A47" s="455">
        <v>2001</v>
      </c>
      <c r="B47" s="440">
        <f t="shared" si="0"/>
        <v>2005</v>
      </c>
      <c r="C47" s="458">
        <f>LN(VLOOKUP($A47,'Brd Link'!$A$12:$E$60,3))</f>
        <v>9.1319813212506507</v>
      </c>
      <c r="D47" s="458">
        <f>VLOOKUP($A47,'Brd Tbl'!$A$8:$AX$64,12)</f>
        <v>11.792349508205923</v>
      </c>
      <c r="E47" s="461">
        <v>43</v>
      </c>
      <c r="F47" s="461">
        <v>41</v>
      </c>
      <c r="G47" s="462">
        <v>2.6044575469318616</v>
      </c>
      <c r="H47" s="462">
        <v>0.91876023168892362</v>
      </c>
      <c r="I47" s="463">
        <v>0.11039274862855962</v>
      </c>
      <c r="J47" s="461">
        <v>10.994558821423032</v>
      </c>
      <c r="K47" s="461">
        <v>0.9270501309412118</v>
      </c>
      <c r="L47" s="461">
        <v>0.62817358286477876</v>
      </c>
      <c r="M47" s="462">
        <v>0.93708394420442065</v>
      </c>
      <c r="N47" s="458">
        <f t="shared" si="1"/>
        <v>0.797790686782891</v>
      </c>
      <c r="O47" s="440">
        <f t="shared" si="2"/>
        <v>0.63646997991751686</v>
      </c>
      <c r="P47" s="465">
        <f t="shared" si="3"/>
        <v>10.994558821423032</v>
      </c>
      <c r="Q47" s="440">
        <f t="shared" si="19"/>
        <v>9.7239651624100887</v>
      </c>
      <c r="R47" s="440">
        <f t="shared" si="5"/>
        <v>12.265152480435976</v>
      </c>
      <c r="S47" s="466">
        <f t="shared" si="20"/>
        <v>72687.556076594759</v>
      </c>
      <c r="T47" s="440">
        <f t="shared" si="7"/>
        <v>5283480808.3881073</v>
      </c>
      <c r="U47" s="466">
        <f t="shared" si="8"/>
        <v>59549.240542230182</v>
      </c>
      <c r="V47" s="467">
        <f t="shared" si="9"/>
        <v>16713.384799881551</v>
      </c>
      <c r="W47" s="467">
        <f t="shared" si="10"/>
        <v>212171.98620243114</v>
      </c>
      <c r="X47" s="468">
        <f t="shared" si="11"/>
        <v>-0.54967723005358338</v>
      </c>
      <c r="Y47" s="468">
        <f t="shared" si="12"/>
        <v>0.54967723005358338</v>
      </c>
      <c r="Z47" s="441">
        <f t="shared" si="13"/>
        <v>9.1319813212506507</v>
      </c>
      <c r="AA47" s="471">
        <f t="shared" si="14"/>
        <v>11.01405229832069</v>
      </c>
      <c r="AB47" s="441">
        <f t="shared" si="15"/>
        <v>11.792349508205923</v>
      </c>
      <c r="AC47" s="799" t="s">
        <v>351</v>
      </c>
      <c r="AD47" s="435">
        <f t="shared" si="16"/>
        <v>9.7434586393077467</v>
      </c>
      <c r="AE47" s="441">
        <f t="shared" si="17"/>
        <v>12.284645957333634</v>
      </c>
      <c r="AF47" s="440"/>
      <c r="AH47" s="54"/>
      <c r="AI47" s="440"/>
    </row>
    <row r="48" spans="1:35">
      <c r="A48" s="455">
        <v>2002</v>
      </c>
      <c r="B48" s="440">
        <f t="shared" si="0"/>
        <v>2006</v>
      </c>
      <c r="C48" s="458">
        <f>LN(VLOOKUP($A48,'Brd Link'!$A$12:$E$60,3))</f>
        <v>9.8883774208919153</v>
      </c>
      <c r="D48" s="458">
        <f>VLOOKUP($A48,'Brd Tbl'!$A$8:$AX$64,12)</f>
        <v>11.090258885682895</v>
      </c>
      <c r="E48" s="461">
        <v>43</v>
      </c>
      <c r="F48" s="461">
        <v>41</v>
      </c>
      <c r="G48" s="462">
        <v>2.5139812854332515</v>
      </c>
      <c r="H48" s="462">
        <v>0.93279891825095418</v>
      </c>
      <c r="I48" s="463">
        <v>0.11162653542563671</v>
      </c>
      <c r="J48" s="461">
        <v>11.73784904689839</v>
      </c>
      <c r="K48" s="461">
        <v>0.92991747700709404</v>
      </c>
      <c r="L48" s="461">
        <v>0.63006359738900253</v>
      </c>
      <c r="M48" s="462">
        <v>0.94213271078615091</v>
      </c>
      <c r="N48" s="458">
        <f t="shared" si="1"/>
        <v>-0.64759016121549529</v>
      </c>
      <c r="O48" s="440">
        <f t="shared" si="2"/>
        <v>0.41937301690311118</v>
      </c>
      <c r="P48" s="465">
        <f t="shared" si="3"/>
        <v>11.73784904689839</v>
      </c>
      <c r="Q48" s="440">
        <f t="shared" si="19"/>
        <v>10.467255387885448</v>
      </c>
      <c r="R48" s="440">
        <f t="shared" si="5"/>
        <v>13.008442705911332</v>
      </c>
      <c r="S48" s="466">
        <f t="shared" si="20"/>
        <v>-59692.993344819013</v>
      </c>
      <c r="T48" s="440">
        <f t="shared" si="7"/>
        <v>3563253454.4646068</v>
      </c>
      <c r="U48" s="466">
        <f t="shared" si="8"/>
        <v>125222.70197610882</v>
      </c>
      <c r="V48" s="467">
        <f t="shared" si="9"/>
        <v>35145.62376867581</v>
      </c>
      <c r="W48" s="467">
        <f t="shared" si="10"/>
        <v>446164.37009073957</v>
      </c>
      <c r="X48" s="468">
        <f t="shared" si="11"/>
        <v>0.91093024204774486</v>
      </c>
      <c r="Y48" s="468">
        <f t="shared" si="12"/>
        <v>0.91093024204774486</v>
      </c>
      <c r="Z48" s="441">
        <f t="shared" si="13"/>
        <v>9.8883774208919153</v>
      </c>
      <c r="AA48" s="471">
        <f t="shared" si="14"/>
        <v>11.71196528324446</v>
      </c>
      <c r="AB48" s="441">
        <f t="shared" si="15"/>
        <v>11.090258885682895</v>
      </c>
      <c r="AC48" s="799" t="s">
        <v>361</v>
      </c>
      <c r="AD48" s="435">
        <f t="shared" si="16"/>
        <v>10.441371624231518</v>
      </c>
      <c r="AE48" s="441">
        <f t="shared" si="17"/>
        <v>12.982558942257402</v>
      </c>
      <c r="AF48" s="440"/>
      <c r="AH48" s="54"/>
      <c r="AI48" s="440"/>
    </row>
    <row r="49" spans="1:35">
      <c r="A49" s="455">
        <v>2003</v>
      </c>
      <c r="B49" s="440">
        <f t="shared" si="0"/>
        <v>2007</v>
      </c>
      <c r="C49" s="458">
        <f>LN(VLOOKUP($A49,'Brd Link'!$A$12:$E$60,3))</f>
        <v>10.333357474796337</v>
      </c>
      <c r="D49" s="458">
        <f>VLOOKUP($A49,'Brd Tbl'!$A$8:$AX$64,12)</f>
        <v>11.377305266840285</v>
      </c>
      <c r="E49" s="461">
        <v>43</v>
      </c>
      <c r="F49" s="461">
        <v>41</v>
      </c>
      <c r="G49" s="462">
        <v>2.4539589862973532</v>
      </c>
      <c r="H49" s="462">
        <v>0.9399999619361471</v>
      </c>
      <c r="I49" s="463">
        <v>0.1123146675934998</v>
      </c>
      <c r="J49" s="461">
        <v>12.16731461927851</v>
      </c>
      <c r="K49" s="461">
        <v>0.92747329668932454</v>
      </c>
      <c r="L49" s="461">
        <v>0.63078330673434524</v>
      </c>
      <c r="M49" s="462">
        <v>0.93737127450622626</v>
      </c>
      <c r="N49" s="458">
        <f t="shared" si="1"/>
        <v>-0.79000935243822568</v>
      </c>
      <c r="O49" s="440">
        <f t="shared" si="2"/>
        <v>0.62411477693986472</v>
      </c>
      <c r="P49" s="465">
        <f t="shared" si="3"/>
        <v>12.16731461927851</v>
      </c>
      <c r="Q49" s="440">
        <f t="shared" si="19"/>
        <v>10.896720960265569</v>
      </c>
      <c r="R49" s="440">
        <f t="shared" si="5"/>
        <v>13.437908278291452</v>
      </c>
      <c r="S49" s="466">
        <f t="shared" si="20"/>
        <v>-105079.27087428267</v>
      </c>
      <c r="T49" s="440">
        <f t="shared" si="7"/>
        <v>11041653167.470869</v>
      </c>
      <c r="U49" s="466">
        <f t="shared" si="8"/>
        <v>192396.69114571402</v>
      </c>
      <c r="V49" s="467">
        <f t="shared" si="9"/>
        <v>53999.008283941082</v>
      </c>
      <c r="W49" s="467">
        <f t="shared" si="10"/>
        <v>685503.08496735326</v>
      </c>
      <c r="X49" s="468">
        <f t="shared" si="11"/>
        <v>1.2034170334812635</v>
      </c>
      <c r="Y49" s="468">
        <f t="shared" si="12"/>
        <v>1.2034170334812635</v>
      </c>
      <c r="Z49" s="441">
        <f t="shared" si="13"/>
        <v>10.333357474796337</v>
      </c>
      <c r="AA49" s="471">
        <f t="shared" si="14"/>
        <v>12.122540321639372</v>
      </c>
      <c r="AB49" s="441">
        <f t="shared" si="15"/>
        <v>11.377305266840285</v>
      </c>
      <c r="AC49" s="799" t="s">
        <v>362</v>
      </c>
      <c r="AD49" s="435">
        <f t="shared" si="16"/>
        <v>10.851946662626428</v>
      </c>
      <c r="AE49" s="441">
        <f t="shared" si="17"/>
        <v>13.393133980652316</v>
      </c>
      <c r="AF49" s="440"/>
      <c r="AH49" s="54"/>
      <c r="AI49" s="440"/>
    </row>
    <row r="50" spans="1:35">
      <c r="A50" s="455">
        <v>2004</v>
      </c>
      <c r="B50" s="440">
        <f t="shared" si="0"/>
        <v>2008</v>
      </c>
      <c r="C50" s="458">
        <f>LN(VLOOKUP($A50,'Brd Link'!$A$12:$E$60,3))</f>
        <v>8.304890584114192</v>
      </c>
      <c r="D50" s="458">
        <f>VLOOKUP($A50,'Brd Tbl'!$A$8:$AX$64,12)</f>
        <v>9.6464942455516205</v>
      </c>
      <c r="E50" s="461">
        <v>43</v>
      </c>
      <c r="F50" s="461">
        <v>41</v>
      </c>
      <c r="G50" s="462">
        <v>2.6392666413172474</v>
      </c>
      <c r="H50" s="462">
        <v>0.91846719284469314</v>
      </c>
      <c r="I50" s="463">
        <v>0.11086541295266175</v>
      </c>
      <c r="J50" s="461">
        <v>10.267036182990934</v>
      </c>
      <c r="K50" s="461">
        <v>0.93027864032516383</v>
      </c>
      <c r="L50" s="461">
        <v>0.62602617278043937</v>
      </c>
      <c r="M50" s="462">
        <v>0.9429304019671314</v>
      </c>
      <c r="N50" s="458">
        <f t="shared" si="1"/>
        <v>-0.62054193743931307</v>
      </c>
      <c r="O50" s="440">
        <f t="shared" si="2"/>
        <v>0.38507229612093635</v>
      </c>
      <c r="P50" s="465">
        <f t="shared" si="3"/>
        <v>10.267036182990934</v>
      </c>
      <c r="Q50" s="440">
        <f t="shared" si="19"/>
        <v>8.9964425239779899</v>
      </c>
      <c r="R50" s="440">
        <f t="shared" si="5"/>
        <v>11.537629842003877</v>
      </c>
      <c r="S50" s="466">
        <f t="shared" si="20"/>
        <v>-13301.028330174966</v>
      </c>
      <c r="T50" s="440">
        <f t="shared" si="7"/>
        <v>176917354.64011705</v>
      </c>
      <c r="U50" s="466">
        <f t="shared" si="8"/>
        <v>28768.496129139112</v>
      </c>
      <c r="V50" s="467">
        <f t="shared" si="9"/>
        <v>8074.3086148886368</v>
      </c>
      <c r="W50" s="467">
        <f t="shared" si="10"/>
        <v>102501.20586252905</v>
      </c>
      <c r="X50" s="468">
        <f t="shared" si="11"/>
        <v>0.85993573757856689</v>
      </c>
      <c r="Y50" s="468">
        <f t="shared" si="12"/>
        <v>0.85993573757856689</v>
      </c>
      <c r="Z50" s="441">
        <f t="shared" si="13"/>
        <v>8.304890584114192</v>
      </c>
      <c r="AA50" s="471">
        <f t="shared" si="14"/>
        <v>10.250910651462023</v>
      </c>
      <c r="AB50" s="441">
        <f t="shared" si="15"/>
        <v>9.6464942455516205</v>
      </c>
      <c r="AC50" s="799" t="s">
        <v>363</v>
      </c>
      <c r="AD50" s="435">
        <f t="shared" si="16"/>
        <v>8.9803169924490795</v>
      </c>
      <c r="AE50" s="441">
        <f t="shared" si="17"/>
        <v>11.521504310474967</v>
      </c>
      <c r="AF50" s="440"/>
      <c r="AH50" s="54"/>
      <c r="AI50" s="440"/>
    </row>
    <row r="51" spans="1:35">
      <c r="A51" s="455">
        <v>2005</v>
      </c>
      <c r="B51" s="440">
        <f t="shared" si="0"/>
        <v>2009</v>
      </c>
      <c r="C51" s="458">
        <f>LN(VLOOKUP($A51,'Brd Link'!$A$12:$E$60,3))</f>
        <v>8.5515274645702455</v>
      </c>
      <c r="D51" s="458">
        <f>VLOOKUP($A51,'Brd Tbl'!$A$8:$AX$64,12)</f>
        <v>10.693310040674076</v>
      </c>
      <c r="E51" s="461">
        <v>43</v>
      </c>
      <c r="F51" s="461">
        <v>41</v>
      </c>
      <c r="G51" s="462">
        <v>2.5767592140007931</v>
      </c>
      <c r="H51" s="462">
        <v>0.92340806825903277</v>
      </c>
      <c r="I51" s="463">
        <v>0.11123430394469334</v>
      </c>
      <c r="J51" s="461">
        <v>10.473308670723668</v>
      </c>
      <c r="K51" s="461">
        <v>0.93456595751098159</v>
      </c>
      <c r="L51" s="461">
        <v>0.62698238035929632</v>
      </c>
      <c r="M51" s="462">
        <v>0.95075997623087283</v>
      </c>
      <c r="N51" s="458">
        <f t="shared" si="1"/>
        <v>0.22000136995040798</v>
      </c>
      <c r="O51" s="440">
        <f t="shared" si="2"/>
        <v>4.840060278005627E-2</v>
      </c>
      <c r="P51" s="465">
        <f t="shared" si="3"/>
        <v>10.473308670723668</v>
      </c>
      <c r="Q51" s="440">
        <f t="shared" si="19"/>
        <v>9.2027150117107261</v>
      </c>
      <c r="R51" s="440">
        <f t="shared" si="5"/>
        <v>11.74390232973661</v>
      </c>
      <c r="S51" s="466">
        <f t="shared" si="20"/>
        <v>8701.0912611667445</v>
      </c>
      <c r="T51" s="440">
        <f t="shared" si="7"/>
        <v>75708989.135152295</v>
      </c>
      <c r="U51" s="466">
        <f t="shared" si="8"/>
        <v>35359.01537816201</v>
      </c>
      <c r="V51" s="467">
        <f t="shared" si="9"/>
        <v>9924.0363903727393</v>
      </c>
      <c r="W51" s="467">
        <f t="shared" si="10"/>
        <v>125983.00926485605</v>
      </c>
      <c r="X51" s="468">
        <f t="shared" si="11"/>
        <v>-0.19748230144772305</v>
      </c>
      <c r="Y51" s="468">
        <f t="shared" si="12"/>
        <v>0.19748230144772305</v>
      </c>
      <c r="Z51" s="441">
        <f t="shared" si="13"/>
        <v>8.5515274645702455</v>
      </c>
      <c r="AA51" s="471">
        <f t="shared" si="14"/>
        <v>10.478478035155577</v>
      </c>
      <c r="AB51" s="441">
        <f t="shared" si="15"/>
        <v>10.693310040674076</v>
      </c>
      <c r="AC51" s="799" t="s">
        <v>363</v>
      </c>
      <c r="AD51" s="435">
        <f t="shared" si="16"/>
        <v>9.2078843761426334</v>
      </c>
      <c r="AE51" s="441">
        <f t="shared" si="17"/>
        <v>11.749071694168521</v>
      </c>
      <c r="AF51" s="440"/>
      <c r="AH51" s="54"/>
      <c r="AI51" s="440"/>
    </row>
    <row r="52" spans="1:35">
      <c r="A52" s="455">
        <v>2006</v>
      </c>
      <c r="B52" s="440">
        <f t="shared" si="0"/>
        <v>2010</v>
      </c>
      <c r="C52" s="458">
        <f>LN(VLOOKUP($A52,'Brd Link'!$A$12:$E$60,3))</f>
        <v>8.047781448739773</v>
      </c>
      <c r="D52" s="458">
        <f>VLOOKUP($A52,'Brd Tbl'!$A$8:$AX$64,12)</f>
        <v>9.8704379869059142</v>
      </c>
      <c r="E52" s="461">
        <v>43</v>
      </c>
      <c r="F52" s="461">
        <v>41</v>
      </c>
      <c r="G52" s="462">
        <v>2.6050341802715398</v>
      </c>
      <c r="H52" s="462">
        <v>0.9211408002315179</v>
      </c>
      <c r="I52" s="463">
        <v>0.11167107557363216</v>
      </c>
      <c r="J52" s="461">
        <v>10.018174024052058</v>
      </c>
      <c r="K52" s="461">
        <v>0.93490648952072597</v>
      </c>
      <c r="L52" s="461">
        <v>0.62399461825491875</v>
      </c>
      <c r="M52" s="462">
        <v>0.95137799172176607</v>
      </c>
      <c r="N52" s="458">
        <f t="shared" si="1"/>
        <v>-0.14773603714614403</v>
      </c>
      <c r="O52" s="440">
        <f t="shared" si="2"/>
        <v>2.1825936671646846E-2</v>
      </c>
      <c r="P52" s="465">
        <f t="shared" si="3"/>
        <v>10.018174024052058</v>
      </c>
      <c r="Q52" s="440">
        <f t="shared" si="19"/>
        <v>8.7475803650391164</v>
      </c>
      <c r="R52" s="440">
        <f t="shared" si="5"/>
        <v>11.288767683065</v>
      </c>
      <c r="S52" s="466">
        <f t="shared" si="20"/>
        <v>-3080.6229861813226</v>
      </c>
      <c r="T52" s="440">
        <f t="shared" si="7"/>
        <v>9490237.9829887301</v>
      </c>
      <c r="U52" s="466">
        <f t="shared" si="8"/>
        <v>22430.435068562347</v>
      </c>
      <c r="V52" s="467">
        <f t="shared" si="9"/>
        <v>6295.437005007364</v>
      </c>
      <c r="W52" s="467">
        <f t="shared" si="10"/>
        <v>79918.902685359019</v>
      </c>
      <c r="X52" s="468">
        <f t="shared" si="11"/>
        <v>0.15920686842154838</v>
      </c>
      <c r="Y52" s="468">
        <f t="shared" si="12"/>
        <v>0.15920686842154838</v>
      </c>
      <c r="Z52" s="441">
        <f t="shared" si="13"/>
        <v>8.047781448739773</v>
      </c>
      <c r="AA52" s="471">
        <f t="shared" si="14"/>
        <v>10.013680707778505</v>
      </c>
      <c r="AB52" s="441">
        <f t="shared" si="15"/>
        <v>9.8704379869059142</v>
      </c>
      <c r="AC52" s="799" t="s">
        <v>363</v>
      </c>
      <c r="AD52" s="435">
        <f t="shared" si="16"/>
        <v>8.7430870487655632</v>
      </c>
      <c r="AE52" s="441">
        <f t="shared" si="17"/>
        <v>11.284274366791447</v>
      </c>
      <c r="AF52" s="440"/>
      <c r="AH52" s="54"/>
      <c r="AI52" s="440"/>
    </row>
    <row r="53" spans="1:35">
      <c r="A53" s="455">
        <v>2007</v>
      </c>
      <c r="B53" s="440">
        <f t="shared" si="0"/>
        <v>2011</v>
      </c>
      <c r="C53" s="458">
        <f>LN(VLOOKUP($A53,'Brd Link'!$A$12:$E$60,3))</f>
        <v>7.9023749112367323</v>
      </c>
      <c r="D53" s="458">
        <f>VLOOKUP($A53,'Brd Tbl'!$A$8:$AX$64,12)</f>
        <v>11.385840386620675</v>
      </c>
      <c r="E53" s="461">
        <v>43</v>
      </c>
      <c r="F53" s="461">
        <v>41</v>
      </c>
      <c r="G53" s="462">
        <v>2.3816651587789224</v>
      </c>
      <c r="H53" s="462">
        <v>0.94215242411862887</v>
      </c>
      <c r="I53" s="463">
        <v>0.10817048556803857</v>
      </c>
      <c r="J53" s="461">
        <v>9.8269068376948443</v>
      </c>
      <c r="K53" s="461">
        <v>0.90404186628528238</v>
      </c>
      <c r="L53" s="461">
        <v>0.64915909556666673</v>
      </c>
      <c r="M53" s="462">
        <v>0.89536757606374662</v>
      </c>
      <c r="N53" s="458">
        <f t="shared" si="1"/>
        <v>1.5589335489258307</v>
      </c>
      <c r="O53" s="440">
        <f t="shared" si="2"/>
        <v>2.4302738099664856</v>
      </c>
      <c r="P53" s="465">
        <f t="shared" si="3"/>
        <v>9.8269068376948443</v>
      </c>
      <c r="Q53" s="440">
        <f t="shared" si="19"/>
        <v>8.5563131786819007</v>
      </c>
      <c r="R53" s="440">
        <f t="shared" si="5"/>
        <v>11.097500496707788</v>
      </c>
      <c r="S53" s="466">
        <f t="shared" si="20"/>
        <v>69540.31150417577</v>
      </c>
      <c r="T53" s="440">
        <f t="shared" si="7"/>
        <v>4835854924.0978012</v>
      </c>
      <c r="U53" s="466">
        <f t="shared" si="8"/>
        <v>18525.56293755666</v>
      </c>
      <c r="V53" s="467">
        <f t="shared" si="9"/>
        <v>5199.4762517623321</v>
      </c>
      <c r="W53" s="467">
        <f t="shared" si="10"/>
        <v>66005.971666290134</v>
      </c>
      <c r="X53" s="468">
        <f t="shared" si="11"/>
        <v>-0.78963970942213435</v>
      </c>
      <c r="Y53" s="468">
        <f t="shared" si="12"/>
        <v>0.78963970942213435</v>
      </c>
      <c r="Z53" s="441">
        <f t="shared" si="13"/>
        <v>7.9023749112367323</v>
      </c>
      <c r="AA53" s="471">
        <f t="shared" si="14"/>
        <v>9.8795167285296621</v>
      </c>
      <c r="AB53" s="441">
        <f t="shared" si="15"/>
        <v>11.385840386620675</v>
      </c>
      <c r="AC53" s="799" t="s">
        <v>363</v>
      </c>
      <c r="AD53" s="435">
        <f t="shared" si="16"/>
        <v>8.6089230695167203</v>
      </c>
      <c r="AE53" s="441">
        <f t="shared" si="17"/>
        <v>11.150110387542604</v>
      </c>
      <c r="AF53" s="440"/>
      <c r="AH53" s="54"/>
      <c r="AI53" s="440"/>
    </row>
    <row r="54" spans="1:35">
      <c r="A54" s="455">
        <v>2008</v>
      </c>
      <c r="B54" s="440">
        <f t="shared" si="0"/>
        <v>2012</v>
      </c>
      <c r="C54" s="458">
        <f>LN(VLOOKUP($A54,'Brd Link'!$A$12:$E$60,3))</f>
        <v>6.4728687865229881</v>
      </c>
      <c r="D54" s="458">
        <f>VLOOKUP($A54,'Brd Tbl'!$A$8:$AX$64,12)</f>
        <v>11.100218577949152</v>
      </c>
      <c r="E54" s="461">
        <v>43</v>
      </c>
      <c r="F54" s="461">
        <v>41</v>
      </c>
      <c r="G54" s="462">
        <v>1.7143575810323739</v>
      </c>
      <c r="H54" s="462">
        <v>1.0148605124368557</v>
      </c>
      <c r="I54" s="463">
        <v>0.10364042267297199</v>
      </c>
      <c r="J54" s="461">
        <v>8.2834165146596224</v>
      </c>
      <c r="K54" s="461">
        <v>0.83671014579130143</v>
      </c>
      <c r="L54" s="461">
        <v>0.70048028450797029</v>
      </c>
      <c r="M54" s="462">
        <v>0.76736524923152205</v>
      </c>
      <c r="N54" s="458">
        <f t="shared" si="1"/>
        <v>2.8168020632895292</v>
      </c>
      <c r="O54" s="440">
        <f t="shared" si="2"/>
        <v>7.9343738637521488</v>
      </c>
      <c r="P54" s="465">
        <f t="shared" si="3"/>
        <v>8.2834165146596224</v>
      </c>
      <c r="Q54" s="440">
        <f t="shared" si="19"/>
        <v>7.0128228556466796</v>
      </c>
      <c r="R54" s="440">
        <f t="shared" si="5"/>
        <v>9.554010173672566</v>
      </c>
      <c r="S54" s="466">
        <f t="shared" si="20"/>
        <v>62227.932480089767</v>
      </c>
      <c r="T54" s="440">
        <f t="shared" si="7"/>
        <v>3872315580.7466111</v>
      </c>
      <c r="U54" s="466">
        <f t="shared" si="8"/>
        <v>3957.6928255918547</v>
      </c>
      <c r="V54" s="467">
        <f t="shared" si="9"/>
        <v>1110.785671010171</v>
      </c>
      <c r="W54" s="467">
        <f t="shared" si="10"/>
        <v>14101.129417249955</v>
      </c>
      <c r="X54" s="468">
        <f t="shared" si="11"/>
        <v>-0.9402031361445472</v>
      </c>
      <c r="Y54" s="468">
        <f t="shared" si="12"/>
        <v>0.9402031361445472</v>
      </c>
      <c r="Z54" s="441">
        <f t="shared" si="13"/>
        <v>6.4728687865229881</v>
      </c>
      <c r="AA54" s="471">
        <f t="shared" si="14"/>
        <v>8.5605373116091563</v>
      </c>
      <c r="AB54" s="441">
        <f t="shared" si="15"/>
        <v>11.100218577949152</v>
      </c>
      <c r="AC54" s="799" t="s">
        <v>363</v>
      </c>
      <c r="AD54" s="435">
        <f t="shared" si="16"/>
        <v>7.2899436525962136</v>
      </c>
      <c r="AE54" s="441">
        <f t="shared" si="17"/>
        <v>9.8311309706220982</v>
      </c>
      <c r="AF54" s="440"/>
      <c r="AH54" s="54"/>
      <c r="AI54" s="440"/>
    </row>
    <row r="55" spans="1:35">
      <c r="A55" s="455">
        <v>2009</v>
      </c>
      <c r="B55" s="440">
        <f t="shared" si="0"/>
        <v>2013</v>
      </c>
      <c r="C55" s="458">
        <f>LN(VLOOKUP($A55,'Brd Link'!$A$12:$E$60,3))</f>
        <v>8.3965871587399956</v>
      </c>
      <c r="D55" s="458">
        <f>VLOOKUP($A55,'Brd Tbl'!$A$8:$AX$64,12)</f>
        <v>9.9927829021427534</v>
      </c>
      <c r="E55" s="461">
        <v>43</v>
      </c>
      <c r="F55" s="461">
        <v>41</v>
      </c>
      <c r="G55" s="462">
        <v>2.6130896069398073</v>
      </c>
      <c r="H55" s="462">
        <v>0.92075091105950546</v>
      </c>
      <c r="I55" s="463">
        <v>0.11119817308286707</v>
      </c>
      <c r="J55" s="461">
        <v>10.344254883140202</v>
      </c>
      <c r="K55" s="461">
        <v>0.93361030730138417</v>
      </c>
      <c r="L55" s="461">
        <v>0.62578564508531986</v>
      </c>
      <c r="M55" s="462">
        <v>0.94901272156468197</v>
      </c>
      <c r="N55" s="458">
        <f t="shared" si="1"/>
        <v>-0.3514719809974487</v>
      </c>
      <c r="O55" s="440">
        <f t="shared" si="2"/>
        <v>0.12353255342627094</v>
      </c>
      <c r="P55" s="465">
        <f t="shared" si="3"/>
        <v>10.344254883140202</v>
      </c>
      <c r="Q55" s="440">
        <f t="shared" si="19"/>
        <v>9.0736612241272603</v>
      </c>
      <c r="R55" s="440">
        <f t="shared" si="5"/>
        <v>11.614848542153144</v>
      </c>
      <c r="S55" s="466">
        <f t="shared" si="20"/>
        <v>-9209.911411239078</v>
      </c>
      <c r="T55" s="440">
        <f t="shared" si="7"/>
        <v>84822468.202871785</v>
      </c>
      <c r="U55" s="466">
        <f t="shared" si="8"/>
        <v>31077.982310206131</v>
      </c>
      <c r="V55" s="467">
        <f t="shared" si="9"/>
        <v>8722.5004454260852</v>
      </c>
      <c r="W55" s="467">
        <f t="shared" si="10"/>
        <v>110729.82919478716</v>
      </c>
      <c r="X55" s="468">
        <f t="shared" si="11"/>
        <v>0.4211579271802211</v>
      </c>
      <c r="Y55" s="468">
        <f t="shared" si="12"/>
        <v>0.4211579271802211</v>
      </c>
      <c r="Z55" s="441">
        <f t="shared" si="13"/>
        <v>8.3965871587399956</v>
      </c>
      <c r="AA55" s="471">
        <f t="shared" si="14"/>
        <v>10.335517420501064</v>
      </c>
      <c r="AB55" s="441">
        <f t="shared" si="15"/>
        <v>9.9927829021427534</v>
      </c>
      <c r="AC55" s="799" t="s">
        <v>363</v>
      </c>
      <c r="AD55" s="435">
        <f t="shared" si="16"/>
        <v>9.0649237614881208</v>
      </c>
      <c r="AE55" s="441">
        <f t="shared" si="17"/>
        <v>11.606111079514008</v>
      </c>
      <c r="AF55" s="440"/>
      <c r="AH55" s="54"/>
      <c r="AI55" s="440"/>
    </row>
    <row r="56" spans="1:35">
      <c r="A56" s="455">
        <v>2010</v>
      </c>
      <c r="B56" s="440">
        <f t="shared" si="0"/>
        <v>2014</v>
      </c>
      <c r="C56" s="458">
        <f>LN(VLOOKUP($A56,'Brd Link'!$A$12:$E$60,3))</f>
        <v>7.2878390738412788</v>
      </c>
      <c r="D56" s="458">
        <f>VLOOKUP($A56,'Brd Tbl'!$A$8:$AX$64,12)</f>
        <v>9.5093676168778956</v>
      </c>
      <c r="E56" s="461">
        <v>43</v>
      </c>
      <c r="F56" s="461">
        <v>41</v>
      </c>
      <c r="G56" s="462">
        <v>2.5446517777846793</v>
      </c>
      <c r="H56" s="462">
        <v>0.92709350206709407</v>
      </c>
      <c r="I56" s="463">
        <v>0.11304982701401159</v>
      </c>
      <c r="J56" s="461">
        <v>9.3011600272535979</v>
      </c>
      <c r="K56" s="461">
        <v>0.93464781135367236</v>
      </c>
      <c r="L56" s="461">
        <v>0.6212552299698707</v>
      </c>
      <c r="M56" s="481">
        <v>0.95087742279838228</v>
      </c>
      <c r="N56" s="458">
        <f t="shared" si="1"/>
        <v>0.20820758962429764</v>
      </c>
      <c r="O56" s="440">
        <f t="shared" si="2"/>
        <v>4.3350400377159932E-2</v>
      </c>
      <c r="P56" s="465">
        <f t="shared" si="3"/>
        <v>9.3011600272535979</v>
      </c>
      <c r="Q56" s="440">
        <f t="shared" si="19"/>
        <v>8.0305663682406561</v>
      </c>
      <c r="R56" s="440">
        <f t="shared" si="5"/>
        <v>10.57175368626654</v>
      </c>
      <c r="S56" s="466">
        <f>EXP(D56)-$E$56</f>
        <v>13442.463639855545</v>
      </c>
      <c r="T56" s="440">
        <f t="shared" si="7"/>
        <v>180699828.70883837</v>
      </c>
      <c r="U56" s="466">
        <f t="shared" si="8"/>
        <v>10950.714970838701</v>
      </c>
      <c r="V56" s="467">
        <f t="shared" si="9"/>
        <v>3073.4819029582336</v>
      </c>
      <c r="W56" s="467">
        <f t="shared" si="10"/>
        <v>39017.037405403084</v>
      </c>
      <c r="X56" s="468">
        <f t="shared" si="11"/>
        <v>-0.18796155154247232</v>
      </c>
      <c r="Y56" s="468">
        <f t="shared" si="12"/>
        <v>0.18796155154247232</v>
      </c>
      <c r="Z56" s="441">
        <f t="shared" si="13"/>
        <v>7.2878390738412788</v>
      </c>
      <c r="AA56" s="471">
        <f t="shared" si="14"/>
        <v>9.312495638888004</v>
      </c>
      <c r="AB56" s="441">
        <f t="shared" si="15"/>
        <v>9.5093676168778956</v>
      </c>
      <c r="AC56" s="799" t="s">
        <v>476</v>
      </c>
      <c r="AD56" s="435">
        <f t="shared" si="16"/>
        <v>8.0419019798750604</v>
      </c>
      <c r="AE56" s="441">
        <f t="shared" si="17"/>
        <v>10.583089297900948</v>
      </c>
      <c r="AF56" s="440"/>
      <c r="AH56" s="54" t="s">
        <v>182</v>
      </c>
      <c r="AI56" s="510">
        <f>X61</f>
        <v>0.70070363329118468</v>
      </c>
    </row>
    <row r="57" spans="1:35">
      <c r="A57" s="455"/>
      <c r="B57" s="440"/>
      <c r="C57" s="458"/>
      <c r="D57" s="458"/>
      <c r="E57" s="461"/>
      <c r="F57" s="461"/>
      <c r="G57" s="462"/>
      <c r="H57" s="462"/>
      <c r="I57" s="463"/>
      <c r="J57" s="461"/>
      <c r="K57" s="461"/>
      <c r="L57" s="461"/>
      <c r="M57" s="462"/>
      <c r="N57" s="458"/>
      <c r="O57" s="440"/>
      <c r="P57" s="465"/>
      <c r="Q57" s="440"/>
      <c r="R57" s="440"/>
      <c r="S57" s="466"/>
      <c r="T57" s="440"/>
      <c r="U57" s="466"/>
      <c r="V57" s="467"/>
      <c r="W57" s="467"/>
      <c r="X57" s="468"/>
      <c r="Y57" s="468"/>
      <c r="Z57" s="441"/>
      <c r="AA57" s="471"/>
      <c r="AB57" s="441"/>
      <c r="AC57" s="800"/>
      <c r="AD57" s="435"/>
      <c r="AE57" s="441"/>
      <c r="AF57" s="440"/>
    </row>
    <row r="58" spans="1:35" ht="23.25">
      <c r="A58" s="455">
        <v>2011</v>
      </c>
      <c r="B58" s="440">
        <f>A58+4</f>
        <v>2015</v>
      </c>
      <c r="C58" s="458">
        <f>LN(VLOOKUP($A58,'Brd Link'!$A$12:$E$60,3))</f>
        <v>7.2878390738412788</v>
      </c>
      <c r="D58" s="458"/>
      <c r="E58" s="461">
        <v>44</v>
      </c>
      <c r="F58" s="461">
        <v>42</v>
      </c>
      <c r="G58" s="462">
        <v>2.5881384878121168</v>
      </c>
      <c r="H58" s="462">
        <v>0.92268189280030422</v>
      </c>
      <c r="I58" s="463">
        <v>0.10993129502121247</v>
      </c>
      <c r="J58" s="461">
        <v>9.312495638888004</v>
      </c>
      <c r="K58" s="461">
        <v>0.92398229757829087</v>
      </c>
      <c r="L58" s="461">
        <v>0.62649005798322566</v>
      </c>
      <c r="M58" s="462">
        <v>0.93025180865244539</v>
      </c>
      <c r="N58" s="458">
        <f>D58-$E$58</f>
        <v>-44</v>
      </c>
      <c r="O58" s="440">
        <f>N58^2</f>
        <v>1936</v>
      </c>
      <c r="P58" s="465">
        <f>J58</f>
        <v>9.312495638888004</v>
      </c>
      <c r="Q58" s="440">
        <f>$P58-(SQRT(O61)*Q61)</f>
        <v>8.0557578408583588</v>
      </c>
      <c r="R58" s="440">
        <f>$P58+SQRT(O61)*Q61</f>
        <v>10.569233436917649</v>
      </c>
      <c r="S58" s="466">
        <f>EXP(D58)-$E$58</f>
        <v>-43</v>
      </c>
      <c r="T58" s="440">
        <f>S58^2</f>
        <v>1849</v>
      </c>
      <c r="U58" s="485">
        <f>EXP(P58)</f>
        <v>11075.554250887788</v>
      </c>
      <c r="V58" s="899">
        <f>EXP(Q58)</f>
        <v>3151.8909107914228</v>
      </c>
      <c r="W58" s="899">
        <f>EXP(R58)</f>
        <v>38918.828549671249</v>
      </c>
      <c r="X58" s="468"/>
      <c r="Y58" s="468"/>
      <c r="Z58" s="441">
        <f>C58</f>
        <v>7.2878390738412788</v>
      </c>
      <c r="AA58" s="471">
        <f>(+G58+H58*C58)</f>
        <v>9.312495638888004</v>
      </c>
      <c r="AB58" s="441"/>
      <c r="AC58" s="799" t="s">
        <v>477</v>
      </c>
      <c r="AD58" s="435">
        <f>AA58-SQRT(O61)*Q61</f>
        <v>8.0557578408583588</v>
      </c>
      <c r="AE58" s="441">
        <f>AA58+SQRT(O61)*Q61</f>
        <v>10.569233436917649</v>
      </c>
      <c r="AF58" s="440">
        <f>AA58</f>
        <v>9.312495638888004</v>
      </c>
      <c r="AH58" s="193" t="s">
        <v>222</v>
      </c>
    </row>
    <row r="59" spans="1:35">
      <c r="A59" s="455"/>
      <c r="B59" s="440"/>
      <c r="C59" s="458"/>
      <c r="D59" s="458"/>
      <c r="E59" s="461"/>
      <c r="F59" s="461"/>
      <c r="G59" s="462"/>
      <c r="H59" s="462"/>
      <c r="I59" s="463"/>
      <c r="J59" s="461"/>
      <c r="K59" s="461"/>
      <c r="L59" s="461"/>
      <c r="M59" s="462"/>
      <c r="N59" s="458"/>
      <c r="O59" s="440"/>
      <c r="P59" s="465"/>
      <c r="Q59" s="440"/>
      <c r="R59" s="440"/>
      <c r="S59" s="466"/>
      <c r="T59" s="440"/>
      <c r="U59" s="466"/>
      <c r="V59" s="467"/>
      <c r="W59" s="467"/>
      <c r="X59" s="468"/>
      <c r="Y59" s="468"/>
      <c r="Z59" s="441"/>
      <c r="AA59" s="471"/>
      <c r="AB59" s="441"/>
      <c r="AC59" s="472"/>
      <c r="AD59" s="435"/>
      <c r="AE59" s="441"/>
      <c r="AF59" s="440"/>
    </row>
    <row r="60" spans="1:35">
      <c r="A60" s="455"/>
      <c r="B60" s="440"/>
      <c r="C60" s="458"/>
      <c r="D60" s="458"/>
      <c r="E60" s="461" t="s">
        <v>184</v>
      </c>
      <c r="F60" s="440">
        <f>F56</f>
        <v>41</v>
      </c>
      <c r="G60" s="462"/>
      <c r="H60" s="462"/>
      <c r="I60" s="463"/>
      <c r="J60" s="461"/>
      <c r="K60" s="461"/>
      <c r="L60" s="461"/>
      <c r="M60" s="462" t="s">
        <v>185</v>
      </c>
      <c r="N60" s="458"/>
      <c r="O60" s="924">
        <f>AVERAGE(INDEX(O$13:O$57,COUNT(O$13:O$57)-1,0):INDEX(O$13:O$57,(COUNT(O$13:O$57)-(COUNT(O$13:O$57)-1)),0))</f>
        <v>0.95087742279838228</v>
      </c>
      <c r="P60" s="589" t="s">
        <v>186</v>
      </c>
      <c r="Q60" s="440">
        <f>VLOOKUP(F60,ttab!$A$4:$G$44,4)</f>
        <v>1.3029999999999999</v>
      </c>
      <c r="R60" s="440"/>
      <c r="S60" s="466"/>
      <c r="T60" s="440"/>
      <c r="U60" s="466"/>
      <c r="V60" s="467"/>
      <c r="W60" s="467"/>
      <c r="X60" s="468"/>
      <c r="Y60" s="468"/>
      <c r="Z60" s="441"/>
      <c r="AA60" s="471"/>
      <c r="AB60" s="441"/>
      <c r="AC60" s="472"/>
      <c r="AD60" s="435"/>
      <c r="AE60" s="441"/>
      <c r="AF60" s="440"/>
    </row>
    <row r="61" spans="1:35">
      <c r="A61" s="455"/>
      <c r="B61" s="440"/>
      <c r="C61" s="458"/>
      <c r="D61" s="458"/>
      <c r="E61" s="461" t="s">
        <v>184</v>
      </c>
      <c r="F61" s="440">
        <f>F58</f>
        <v>42</v>
      </c>
      <c r="G61" s="462"/>
      <c r="H61" s="462"/>
      <c r="I61" s="463"/>
      <c r="J61" s="461"/>
      <c r="K61" s="461"/>
      <c r="L61" s="461"/>
      <c r="M61" s="462" t="s">
        <v>188</v>
      </c>
      <c r="N61" s="458"/>
      <c r="O61" s="470">
        <f>AVERAGEA(O13:O57)</f>
        <v>0.93025180865244539</v>
      </c>
      <c r="P61" s="589" t="s">
        <v>186</v>
      </c>
      <c r="Q61" s="440">
        <f>VLOOKUP(F61,ttab!$A$4:$G$44,4)</f>
        <v>1.3029999999999999</v>
      </c>
      <c r="R61" s="440"/>
      <c r="S61" s="476" t="s">
        <v>189</v>
      </c>
      <c r="T61" s="440">
        <f>AVERAGEA(T13:T57)</f>
        <v>200451933290.90628</v>
      </c>
      <c r="U61" s="466"/>
      <c r="V61" s="467"/>
      <c r="W61" s="467" t="s">
        <v>190</v>
      </c>
      <c r="X61" s="486">
        <f>AVERAGEA(X13:X57)</f>
        <v>0.70070363329118468</v>
      </c>
      <c r="Y61" s="486">
        <f>AVERAGEA(Y13:Y57)</f>
        <v>1.1450759870024447</v>
      </c>
      <c r="Z61" s="441"/>
      <c r="AA61" s="471"/>
      <c r="AB61" s="441"/>
      <c r="AC61" s="472"/>
      <c r="AD61" s="435"/>
      <c r="AE61" s="441"/>
      <c r="AF61" s="440"/>
    </row>
    <row r="62" spans="1:35">
      <c r="A62" s="455"/>
      <c r="B62" s="440"/>
      <c r="C62" s="458"/>
      <c r="D62" s="458"/>
      <c r="E62" s="461"/>
      <c r="F62" s="461"/>
      <c r="G62" s="462"/>
      <c r="H62" s="462"/>
      <c r="I62" s="461"/>
      <c r="J62" s="461"/>
      <c r="K62" s="461"/>
      <c r="L62" s="461"/>
      <c r="M62" s="464"/>
      <c r="N62" s="458"/>
      <c r="O62" s="440"/>
      <c r="P62" s="465"/>
      <c r="Q62" s="440"/>
      <c r="R62" s="440"/>
      <c r="S62" s="466"/>
      <c r="T62" s="440"/>
      <c r="U62" s="466"/>
      <c r="V62" s="467"/>
      <c r="W62" s="467"/>
      <c r="X62" s="469"/>
      <c r="Y62" s="469"/>
      <c r="Z62" s="471"/>
      <c r="AA62" s="471"/>
      <c r="AB62" s="473"/>
      <c r="AC62" s="474"/>
      <c r="AD62" s="435"/>
      <c r="AE62" s="441"/>
      <c r="AF62" s="440"/>
    </row>
    <row r="63" spans="1:35">
      <c r="A63" s="455"/>
      <c r="B63" s="440"/>
      <c r="C63" s="458"/>
      <c r="D63" s="440"/>
      <c r="E63" s="461"/>
      <c r="F63" s="461"/>
      <c r="G63" s="462"/>
      <c r="H63" s="462"/>
      <c r="I63" s="463"/>
      <c r="J63" s="461"/>
      <c r="K63" s="461"/>
      <c r="L63" s="461"/>
      <c r="M63" s="462"/>
      <c r="N63" s="458"/>
      <c r="O63" s="470"/>
      <c r="P63" s="465"/>
      <c r="Q63" s="440"/>
      <c r="R63" s="440"/>
      <c r="S63" s="466"/>
      <c r="T63" s="440"/>
      <c r="U63" s="466"/>
      <c r="V63" s="467"/>
      <c r="W63" s="467"/>
      <c r="X63" s="468"/>
      <c r="Y63" s="468"/>
      <c r="Z63" s="471"/>
      <c r="AA63" s="471"/>
      <c r="AB63" s="473"/>
      <c r="AC63" s="474"/>
      <c r="AD63" s="435"/>
      <c r="AE63" s="441"/>
      <c r="AF63" s="475"/>
    </row>
    <row r="64" spans="1:35">
      <c r="A64" s="134"/>
      <c r="B64" s="517"/>
      <c r="C64" s="480"/>
      <c r="D64" s="517"/>
      <c r="E64" s="227"/>
      <c r="F64" s="227"/>
      <c r="G64" s="227"/>
      <c r="H64" s="227"/>
      <c r="I64" s="227"/>
      <c r="J64" s="227"/>
      <c r="K64" s="227"/>
      <c r="L64" s="227"/>
      <c r="M64" s="771"/>
      <c r="N64" s="239"/>
      <c r="O64" s="227"/>
      <c r="P64" s="227"/>
      <c r="Q64" s="227"/>
      <c r="R64" s="227"/>
      <c r="S64" s="227"/>
      <c r="T64" s="227"/>
      <c r="U64" s="227"/>
      <c r="V64" s="227"/>
      <c r="W64" s="227"/>
      <c r="X64" s="47"/>
      <c r="Y64" s="47"/>
      <c r="Z64" s="139"/>
      <c r="AA64" s="47"/>
      <c r="AB64" s="47"/>
      <c r="AC64" s="47"/>
      <c r="AD64" s="227"/>
      <c r="AE64" s="47"/>
    </row>
    <row r="65" spans="1:35">
      <c r="A65" s="227"/>
      <c r="B65" s="227"/>
      <c r="C65" s="239"/>
      <c r="D65" s="227"/>
      <c r="E65" s="379"/>
      <c r="F65" s="517"/>
      <c r="G65" s="227"/>
      <c r="H65" s="227"/>
      <c r="I65" s="227"/>
      <c r="J65" s="227"/>
      <c r="K65" s="227"/>
      <c r="L65" s="227"/>
      <c r="M65" s="772"/>
      <c r="N65" s="239"/>
      <c r="O65" s="480"/>
      <c r="P65" s="379"/>
      <c r="Q65" s="517"/>
      <c r="R65" s="227"/>
      <c r="S65" s="227"/>
      <c r="T65" s="227"/>
      <c r="U65" s="227"/>
      <c r="V65" s="227"/>
      <c r="W65" s="227"/>
      <c r="X65" s="227"/>
      <c r="Y65" s="227"/>
      <c r="Z65" s="227"/>
      <c r="AA65" s="227"/>
      <c r="AB65" s="227"/>
      <c r="AC65" s="227"/>
      <c r="AD65" s="227"/>
      <c r="AE65" s="227"/>
      <c r="AF65" s="227"/>
      <c r="AG65" s="227"/>
      <c r="AH65" s="227"/>
      <c r="AI65" s="227"/>
    </row>
    <row r="66" spans="1:35">
      <c r="A66" s="227"/>
      <c r="B66" s="227"/>
      <c r="C66" s="227"/>
      <c r="D66" s="227"/>
      <c r="E66" s="379"/>
      <c r="F66" s="517"/>
      <c r="G66" s="227"/>
      <c r="H66" s="227"/>
      <c r="I66" s="227"/>
      <c r="J66" s="227"/>
      <c r="K66" s="227"/>
      <c r="L66" s="227"/>
      <c r="M66" s="772"/>
      <c r="N66" s="239"/>
      <c r="O66" s="480"/>
      <c r="P66" s="379"/>
      <c r="Q66" s="517"/>
      <c r="R66" s="227"/>
      <c r="S66" s="379"/>
      <c r="T66" s="227"/>
      <c r="U66" s="227"/>
      <c r="V66" s="227"/>
      <c r="W66" s="227"/>
      <c r="X66" s="552"/>
      <c r="Y66" s="552"/>
      <c r="Z66" s="227"/>
      <c r="AA66" s="227"/>
      <c r="AB66" s="227"/>
      <c r="AC66" s="227"/>
      <c r="AD66" s="227"/>
      <c r="AE66" s="227"/>
      <c r="AF66" s="227"/>
      <c r="AG66" s="227"/>
      <c r="AH66" s="227"/>
      <c r="AI66" s="227"/>
    </row>
    <row r="67" spans="1:35">
      <c r="A67" s="227"/>
      <c r="B67" s="227"/>
      <c r="C67" s="227"/>
      <c r="D67" s="227"/>
      <c r="E67" s="227"/>
      <c r="F67" s="227"/>
      <c r="G67" s="227"/>
      <c r="H67" s="227"/>
      <c r="I67" s="227"/>
      <c r="J67" s="227"/>
      <c r="K67" s="227"/>
      <c r="L67" s="227"/>
      <c r="M67" s="771"/>
      <c r="N67" s="239"/>
      <c r="O67" s="227"/>
      <c r="P67" s="227"/>
      <c r="Q67" s="227"/>
      <c r="R67" s="227"/>
      <c r="S67" s="227"/>
      <c r="T67" s="227"/>
      <c r="U67" s="227"/>
      <c r="V67" s="227"/>
      <c r="W67" s="227"/>
      <c r="X67" s="227"/>
      <c r="Y67" s="227"/>
      <c r="Z67" s="227"/>
      <c r="AA67" s="227"/>
      <c r="AB67" s="227"/>
      <c r="AC67" s="227"/>
      <c r="AD67" s="227"/>
      <c r="AE67" s="227"/>
      <c r="AF67" s="227"/>
      <c r="AG67" s="227"/>
      <c r="AH67" s="227"/>
      <c r="AI67" s="227"/>
    </row>
    <row r="68" spans="1:35">
      <c r="M68" s="147"/>
      <c r="N68" s="10"/>
    </row>
    <row r="69" spans="1:35">
      <c r="A69" s="15"/>
    </row>
    <row r="70" spans="1:35">
      <c r="A70" s="15"/>
    </row>
    <row r="71" spans="1:35">
      <c r="A71" s="15"/>
    </row>
    <row r="72" spans="1:35">
      <c r="A72" s="15"/>
    </row>
    <row r="73" spans="1:35">
      <c r="A73" s="15"/>
    </row>
    <row r="74" spans="1:35">
      <c r="A74" s="15"/>
    </row>
    <row r="75" spans="1:35">
      <c r="A75" s="15"/>
    </row>
    <row r="76" spans="1:35">
      <c r="A76" s="15"/>
    </row>
    <row r="77" spans="1:35">
      <c r="A77" s="15"/>
    </row>
    <row r="78" spans="1:35">
      <c r="A78" s="15"/>
    </row>
    <row r="79" spans="1:35">
      <c r="A79" s="15"/>
    </row>
    <row r="80" spans="1:35">
      <c r="A80" s="15"/>
    </row>
    <row r="81" spans="1:1">
      <c r="A81" s="15"/>
    </row>
    <row r="82" spans="1:1">
      <c r="A82" s="15"/>
    </row>
    <row r="83" spans="1:1">
      <c r="A83" s="15"/>
    </row>
    <row r="84" spans="1:1">
      <c r="A84" s="15"/>
    </row>
    <row r="85" spans="1:1">
      <c r="A85" s="15"/>
    </row>
    <row r="86" spans="1:1">
      <c r="A86" s="15"/>
    </row>
    <row r="87" spans="1:1">
      <c r="A87" s="15"/>
    </row>
    <row r="88" spans="1:1">
      <c r="A88" s="15"/>
    </row>
    <row r="89" spans="1:1">
      <c r="A89" s="15"/>
    </row>
    <row r="90" spans="1:1">
      <c r="A90" s="15"/>
    </row>
    <row r="91" spans="1:1">
      <c r="A91" s="15"/>
    </row>
    <row r="92" spans="1:1">
      <c r="A92" s="15"/>
    </row>
    <row r="93" spans="1:1">
      <c r="A93" s="15"/>
    </row>
  </sheetData>
  <sortState ref="A13:AE56">
    <sortCondition ref="B13"/>
  </sortState>
  <phoneticPr fontId="60" type="noConversion"/>
  <pageMargins left="0.55000000000000004" right="0.50800000000000001" top="0.5" bottom="1" header="0.5" footer="0.5"/>
  <pageSetup scale="37" orientation="portrait" horizontalDpi="300" verticalDpi="300" r:id="rId1"/>
  <headerFooter alignWithMargins="0"/>
  <drawing r:id="rId2"/>
  <legacyDrawing r:id="rId3"/>
  <controls>
    <mc:AlternateContent xmlns:mc="http://schemas.openxmlformats.org/markup-compatibility/2006">
      <mc:Choice Requires="x14">
        <control shapeId="16416" r:id="rId4" name="CommandButton1">
          <controlPr defaultSize="0" autoLine="0" r:id="rId5">
            <anchor moveWithCells="1">
              <from>
                <xdr:col>8</xdr:col>
                <xdr:colOff>695325</xdr:colOff>
                <xdr:row>2</xdr:row>
                <xdr:rowOff>0</xdr:rowOff>
              </from>
              <to>
                <xdr:col>12</xdr:col>
                <xdr:colOff>552450</xdr:colOff>
                <xdr:row>6</xdr:row>
                <xdr:rowOff>28575</xdr:rowOff>
              </to>
            </anchor>
          </controlPr>
        </control>
      </mc:Choice>
      <mc:Fallback>
        <control shapeId="16416" r:id="rId4" name="CommandButton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8"/>
  <dimension ref="A1:AI98"/>
  <sheetViews>
    <sheetView zoomScale="75" workbookViewId="0">
      <pane ySplit="11" topLeftCell="A42" activePane="bottomLeft" state="frozen"/>
      <selection activeCell="W48" sqref="W48"/>
      <selection pane="bottomLeft" activeCell="U63" sqref="U63"/>
    </sheetView>
  </sheetViews>
  <sheetFormatPr defaultColWidth="9.6640625" defaultRowHeight="15"/>
  <cols>
    <col min="1" max="1" width="6.6640625" customWidth="1"/>
    <col min="2" max="2" width="6.77734375" customWidth="1"/>
    <col min="3" max="3" width="12.21875" style="2" customWidth="1"/>
    <col min="4" max="4" width="9.77734375" style="147" bestFit="1" customWidth="1"/>
    <col min="5" max="6" width="5.6640625" customWidth="1"/>
    <col min="7" max="7" width="9.6640625" style="127"/>
    <col min="9" max="9" width="12.6640625" style="147" customWidth="1"/>
    <col min="10" max="10" width="9.6640625" style="127"/>
    <col min="11" max="12" width="7.6640625" customWidth="1"/>
    <col min="13" max="13" width="9.6640625" style="9"/>
    <col min="14" max="14" width="9.6640625" customWidth="1"/>
    <col min="15" max="15" width="9.6640625" style="9"/>
    <col min="16" max="16" width="10.44140625" style="127" customWidth="1"/>
    <col min="19" max="19" width="11.21875" customWidth="1"/>
    <col min="20" max="20" width="15.6640625" customWidth="1"/>
    <col min="21" max="21" width="9.6640625" style="2"/>
    <col min="22" max="22" width="9.6640625" style="147"/>
    <col min="23" max="23" width="10.6640625" customWidth="1"/>
    <col min="26" max="26" width="11.33203125" style="2" customWidth="1"/>
  </cols>
  <sheetData>
    <row r="1" spans="1:32">
      <c r="A1" t="s">
        <v>0</v>
      </c>
      <c r="B1" s="440" t="str">
        <f ca="1">CELL("filename",B2)</f>
        <v>O:\DCF\SALMON\FORECAST\2015\[2015_Copper River Wild Sockeye forecast_FINAL.xlsm]ln12rpsxBYE</v>
      </c>
      <c r="G1" t="s">
        <v>153</v>
      </c>
      <c r="H1" s="127"/>
    </row>
    <row r="2" spans="1:32">
      <c r="G2" s="242" t="s">
        <v>154</v>
      </c>
      <c r="H2" s="149" t="s">
        <v>192</v>
      </c>
    </row>
    <row r="3" spans="1:32">
      <c r="G3" s="242" t="s">
        <v>155</v>
      </c>
      <c r="H3" s="149" t="s">
        <v>585</v>
      </c>
    </row>
    <row r="4" spans="1:32">
      <c r="G4" s="54" t="s">
        <v>253</v>
      </c>
      <c r="H4" s="241">
        <v>4</v>
      </c>
    </row>
    <row r="5" spans="1:32">
      <c r="B5" s="13"/>
    </row>
    <row r="6" spans="1:32">
      <c r="B6" s="13"/>
    </row>
    <row r="8" spans="1:32">
      <c r="AA8" t="s">
        <v>156</v>
      </c>
    </row>
    <row r="9" spans="1:32">
      <c r="A9" s="123"/>
      <c r="B9" s="123"/>
      <c r="C9" s="150" t="s">
        <v>157</v>
      </c>
      <c r="D9" s="177"/>
      <c r="E9" s="121"/>
      <c r="F9" s="119"/>
      <c r="G9" s="152"/>
      <c r="H9" s="119" t="s">
        <v>158</v>
      </c>
      <c r="I9" s="154"/>
      <c r="J9" s="152"/>
      <c r="K9" s="119"/>
      <c r="L9" s="119"/>
      <c r="M9" s="155"/>
      <c r="N9" s="121" t="s">
        <v>159</v>
      </c>
      <c r="O9" s="156"/>
      <c r="P9" s="152"/>
      <c r="Q9" s="119"/>
      <c r="R9" s="126"/>
      <c r="S9" s="121" t="s">
        <v>160</v>
      </c>
      <c r="T9" s="119"/>
      <c r="U9" s="157"/>
      <c r="V9" s="154"/>
      <c r="W9" s="126"/>
      <c r="X9" s="122" t="s">
        <v>109</v>
      </c>
      <c r="Y9" s="415" t="s">
        <v>329</v>
      </c>
      <c r="Z9" s="205" t="s">
        <v>161</v>
      </c>
      <c r="AA9" s="164" t="s">
        <v>162</v>
      </c>
      <c r="AB9" s="164" t="s">
        <v>163</v>
      </c>
      <c r="AC9" s="164" t="s">
        <v>164</v>
      </c>
      <c r="AD9" s="158" t="s">
        <v>25</v>
      </c>
      <c r="AE9" s="159"/>
    </row>
    <row r="10" spans="1:32">
      <c r="A10" s="100" t="s">
        <v>23</v>
      </c>
      <c r="B10" s="139" t="s">
        <v>29</v>
      </c>
      <c r="C10" s="206" t="s">
        <v>165</v>
      </c>
      <c r="D10" s="208" t="s">
        <v>166</v>
      </c>
      <c r="E10" s="123"/>
      <c r="F10" s="123"/>
      <c r="G10" s="133"/>
      <c r="H10" s="123"/>
      <c r="I10" s="208" t="s">
        <v>167</v>
      </c>
      <c r="J10" s="207" t="s">
        <v>168</v>
      </c>
      <c r="K10" s="209" t="s">
        <v>167</v>
      </c>
      <c r="L10" s="123"/>
      <c r="M10" s="210" t="s">
        <v>169</v>
      </c>
      <c r="N10" s="123"/>
      <c r="O10" s="161"/>
      <c r="P10" s="211" t="s">
        <v>24</v>
      </c>
      <c r="Q10" s="122" t="s">
        <v>170</v>
      </c>
      <c r="R10" s="122" t="s">
        <v>171</v>
      </c>
      <c r="S10" s="123"/>
      <c r="T10" s="123"/>
      <c r="U10" s="212" t="s">
        <v>24</v>
      </c>
      <c r="V10" s="213" t="s">
        <v>170</v>
      </c>
      <c r="W10" s="122" t="s">
        <v>171</v>
      </c>
      <c r="X10" s="100" t="s">
        <v>115</v>
      </c>
      <c r="Y10" s="416" t="s">
        <v>323</v>
      </c>
      <c r="Z10" s="132" t="s">
        <v>193</v>
      </c>
      <c r="AA10" s="122" t="s">
        <v>172</v>
      </c>
      <c r="AB10" s="122" t="s">
        <v>112</v>
      </c>
      <c r="AC10" s="122" t="s">
        <v>29</v>
      </c>
      <c r="AD10" s="164" t="s">
        <v>173</v>
      </c>
      <c r="AE10" s="164" t="s">
        <v>174</v>
      </c>
    </row>
    <row r="11" spans="1:32" ht="16.899999999999999" customHeight="1">
      <c r="A11" s="125" t="s">
        <v>27</v>
      </c>
      <c r="B11" s="27" t="s">
        <v>27</v>
      </c>
      <c r="C11" s="163" t="s">
        <v>161</v>
      </c>
      <c r="D11" s="214" t="s">
        <v>240</v>
      </c>
      <c r="E11" s="188" t="s">
        <v>175</v>
      </c>
      <c r="F11" s="188" t="s">
        <v>176</v>
      </c>
      <c r="G11" s="214" t="s">
        <v>152</v>
      </c>
      <c r="H11" s="215" t="s">
        <v>177</v>
      </c>
      <c r="I11" s="216" t="s">
        <v>177</v>
      </c>
      <c r="J11" s="214" t="s">
        <v>239</v>
      </c>
      <c r="K11" s="188" t="s">
        <v>168</v>
      </c>
      <c r="L11" s="188" t="s">
        <v>241</v>
      </c>
      <c r="M11" s="217" t="s">
        <v>178</v>
      </c>
      <c r="N11" s="188" t="s">
        <v>242</v>
      </c>
      <c r="O11" s="217" t="s">
        <v>243</v>
      </c>
      <c r="P11" s="214" t="s">
        <v>239</v>
      </c>
      <c r="Q11" s="188" t="s">
        <v>244</v>
      </c>
      <c r="R11" s="188" t="s">
        <v>244</v>
      </c>
      <c r="S11" s="188" t="s">
        <v>242</v>
      </c>
      <c r="T11" s="217" t="s">
        <v>243</v>
      </c>
      <c r="U11" s="214" t="s">
        <v>239</v>
      </c>
      <c r="V11" s="188" t="s">
        <v>244</v>
      </c>
      <c r="W11" s="188" t="s">
        <v>244</v>
      </c>
      <c r="X11" s="234" t="s">
        <v>245</v>
      </c>
      <c r="Y11" s="555" t="s">
        <v>115</v>
      </c>
      <c r="Z11" s="125" t="s">
        <v>200</v>
      </c>
      <c r="AA11" s="125" t="s">
        <v>179</v>
      </c>
      <c r="AB11" s="125" t="s">
        <v>179</v>
      </c>
      <c r="AC11" s="125" t="s">
        <v>27</v>
      </c>
      <c r="AD11" s="164" t="s">
        <v>170</v>
      </c>
      <c r="AE11" s="164" t="s">
        <v>171</v>
      </c>
      <c r="AF11" s="164" t="s">
        <v>111</v>
      </c>
    </row>
    <row r="12" spans="1:32">
      <c r="C12"/>
      <c r="D12"/>
      <c r="G12"/>
      <c r="I12"/>
      <c r="J12"/>
      <c r="M12"/>
      <c r="O12"/>
      <c r="P12"/>
      <c r="U12"/>
      <c r="V12"/>
      <c r="Z12"/>
    </row>
    <row r="13" spans="1:32">
      <c r="A13" s="455">
        <v>1962</v>
      </c>
      <c r="B13" s="479">
        <f t="shared" ref="B13:B44" si="0">A13+$H$4</f>
        <v>1966</v>
      </c>
      <c r="C13" s="515">
        <f>VLOOKUP($A13,'Brd Tbl'!$A$8:$AX$64,2)</f>
        <v>416093.18072477408</v>
      </c>
      <c r="D13" s="458">
        <f>VLOOKUP($A13,'Brd Tbl'!$A$8:$AX$64,19)</f>
        <v>-1.4020062680245757</v>
      </c>
      <c r="E13" s="461">
        <v>48</v>
      </c>
      <c r="F13" s="461">
        <v>46</v>
      </c>
      <c r="G13" s="462">
        <v>-0.18409881691245422</v>
      </c>
      <c r="H13" s="462">
        <v>-1.2433777414848343E-6</v>
      </c>
      <c r="I13" s="463">
        <v>5.184078632704623E-7</v>
      </c>
      <c r="J13" s="461">
        <v>-0.70145981620926479</v>
      </c>
      <c r="K13" s="461">
        <v>0.657217570090744</v>
      </c>
      <c r="L13" s="461">
        <v>0.11115550398882493</v>
      </c>
      <c r="M13" s="462">
        <v>0.44691019046111435</v>
      </c>
      <c r="N13" s="458">
        <f t="shared" ref="N13:N44" si="1">D13-J13</f>
        <v>-0.70054645181531094</v>
      </c>
      <c r="O13" s="440">
        <f t="shared" ref="O13:O44" si="2">N13^2</f>
        <v>0.49076533115102178</v>
      </c>
      <c r="P13" s="465">
        <f t="shared" ref="P13:P44" si="3">J13</f>
        <v>-0.70145981620926479</v>
      </c>
      <c r="Q13" s="440">
        <f t="shared" ref="Q13:Q40" si="4">$P13-SQRT($O$65)*$Q$65</f>
        <v>-1.5565026963874713</v>
      </c>
      <c r="R13" s="440">
        <f t="shared" ref="R13:R44" si="5">$P13+SQRT($O$65)*$Q$65</f>
        <v>0.15358306396894172</v>
      </c>
      <c r="S13" s="466">
        <f t="shared" ref="S13:S43" si="6">EXP(D13)*C13-U13</f>
        <v>-103922.67931025052</v>
      </c>
      <c r="T13" s="440">
        <f t="shared" ref="T13:T44" si="7">S13^2</f>
        <v>10799923275.021172</v>
      </c>
      <c r="U13" s="466">
        <f t="shared" ref="U13:U44" si="8">EXP(P13)*C13</f>
        <v>206324.34298335161</v>
      </c>
      <c r="V13" s="467">
        <f t="shared" ref="V13:V44" si="9">EXP(Q13)*C13</f>
        <v>87742.512486674023</v>
      </c>
      <c r="W13" s="467">
        <f t="shared" ref="W13:W44" si="10">EXP(R13)*C13</f>
        <v>485166.57776328252</v>
      </c>
      <c r="X13" s="468">
        <f t="shared" ref="X13:X44" si="11">(+U13-EXP(D13)*C13)/(EXP(D13)*C13)</f>
        <v>1.0148534270107661</v>
      </c>
      <c r="Y13" s="468">
        <f t="shared" ref="Y13:Y44" si="12">ABS(X13)</f>
        <v>1.0148534270107661</v>
      </c>
      <c r="Z13" s="441">
        <f t="shared" ref="Z13:Z44" si="13">C13</f>
        <v>416093.18072477408</v>
      </c>
      <c r="AA13" s="471">
        <f t="shared" ref="AA13:AA44" si="14">(+G$63+H$63*C13)</f>
        <v>-0.7214464032285095</v>
      </c>
      <c r="AB13" s="441">
        <f>$B13</f>
        <v>1966</v>
      </c>
      <c r="AC13" s="802">
        <f t="shared" ref="AC13:AC46" si="15">B13-1900</f>
        <v>66</v>
      </c>
      <c r="AD13" s="435">
        <f t="shared" ref="AD13:AD44" si="16">AA13-SQRT($O$65)*$Q$65</f>
        <v>-1.5764892834067159</v>
      </c>
      <c r="AE13" s="441">
        <f t="shared" ref="AE13:AE44" si="17">AA13+SQRT($O$65)*$Q$65</f>
        <v>0.13359647694969701</v>
      </c>
    </row>
    <row r="14" spans="1:32">
      <c r="A14" s="455">
        <v>1963</v>
      </c>
      <c r="B14" s="479">
        <f t="shared" si="0"/>
        <v>1967</v>
      </c>
      <c r="C14" s="515">
        <f>VLOOKUP($A14,'Brd Tbl'!$A$8:$AX$64,2)</f>
        <v>271007.35305366298</v>
      </c>
      <c r="D14" s="458">
        <f>VLOOKUP($A14,'Brd Tbl'!$A$8:$AX$64,19)</f>
        <v>-1.0213456183323786</v>
      </c>
      <c r="E14" s="461">
        <v>48</v>
      </c>
      <c r="F14" s="461">
        <v>46</v>
      </c>
      <c r="G14" s="462">
        <v>-0.17150268221675202</v>
      </c>
      <c r="H14" s="462">
        <v>-1.274648194310958E-6</v>
      </c>
      <c r="I14" s="463">
        <v>5.3074490583784212E-7</v>
      </c>
      <c r="J14" s="461">
        <v>-0.51694171543159584</v>
      </c>
      <c r="K14" s="461">
        <v>0.6611442164416329</v>
      </c>
      <c r="L14" s="461">
        <v>0.111416477810312</v>
      </c>
      <c r="M14" s="462">
        <v>0.45183398283381182</v>
      </c>
      <c r="N14" s="458">
        <f t="shared" si="1"/>
        <v>-0.50440390290078274</v>
      </c>
      <c r="O14" s="440">
        <f t="shared" si="2"/>
        <v>0.25442329726154228</v>
      </c>
      <c r="P14" s="465">
        <f t="shared" si="3"/>
        <v>-0.51694171543159584</v>
      </c>
      <c r="Q14" s="440">
        <f t="shared" si="4"/>
        <v>-1.3719845956098022</v>
      </c>
      <c r="R14" s="440">
        <f t="shared" si="5"/>
        <v>0.33810116474661067</v>
      </c>
      <c r="S14" s="466">
        <f t="shared" si="6"/>
        <v>-64020.47374060232</v>
      </c>
      <c r="T14" s="440">
        <f t="shared" si="7"/>
        <v>4098621057.9711514</v>
      </c>
      <c r="U14" s="466">
        <f t="shared" si="8"/>
        <v>161612.94339075411</v>
      </c>
      <c r="V14" s="467">
        <f t="shared" si="9"/>
        <v>68728.32113957392</v>
      </c>
      <c r="W14" s="467">
        <f t="shared" si="10"/>
        <v>380028.83001289942</v>
      </c>
      <c r="X14" s="468">
        <f t="shared" si="11"/>
        <v>0.65599809052995661</v>
      </c>
      <c r="Y14" s="468">
        <f t="shared" si="12"/>
        <v>0.65599809052995661</v>
      </c>
      <c r="Z14" s="441">
        <f t="shared" si="13"/>
        <v>271007.35305366298</v>
      </c>
      <c r="AA14" s="471">
        <f t="shared" si="14"/>
        <v>-0.54824512438408357</v>
      </c>
      <c r="AB14" s="441">
        <f t="shared" ref="AB14:AB60" si="18">D14</f>
        <v>-1.0213456183323786</v>
      </c>
      <c r="AC14" s="802">
        <f t="shared" si="15"/>
        <v>67</v>
      </c>
      <c r="AD14" s="435">
        <f t="shared" si="16"/>
        <v>-1.40328800456229</v>
      </c>
      <c r="AE14" s="441">
        <f t="shared" si="17"/>
        <v>0.30679775579412294</v>
      </c>
    </row>
    <row r="15" spans="1:32">
      <c r="A15" s="455">
        <v>1964</v>
      </c>
      <c r="B15" s="479">
        <f t="shared" si="0"/>
        <v>1968</v>
      </c>
      <c r="C15" s="515">
        <f>VLOOKUP($A15,'Brd Tbl'!$A$8:$AX$64,2)</f>
        <v>233990.19926972012</v>
      </c>
      <c r="D15" s="458">
        <f>VLOOKUP($A15,'Brd Tbl'!$A$8:$AX$64,19)</f>
        <v>0.21707604984903545</v>
      </c>
      <c r="E15" s="461">
        <v>48</v>
      </c>
      <c r="F15" s="461">
        <v>46</v>
      </c>
      <c r="G15" s="462">
        <v>-0.31640349521742683</v>
      </c>
      <c r="H15" s="462">
        <v>-1.0510317679536089E-6</v>
      </c>
      <c r="I15" s="463">
        <v>5.3006399495702712E-7</v>
      </c>
      <c r="J15" s="461">
        <v>-0.56233462803969803</v>
      </c>
      <c r="K15" s="461">
        <v>0.65580541009121696</v>
      </c>
      <c r="L15" s="461">
        <v>7.8740676147587632E-2</v>
      </c>
      <c r="M15" s="462">
        <v>0.44447861392661525</v>
      </c>
      <c r="N15" s="458">
        <f t="shared" si="1"/>
        <v>0.77941067788873353</v>
      </c>
      <c r="O15" s="440">
        <f t="shared" si="2"/>
        <v>0.60748100480697509</v>
      </c>
      <c r="P15" s="465">
        <f t="shared" si="3"/>
        <v>-0.56233462803969803</v>
      </c>
      <c r="Q15" s="440">
        <f t="shared" si="4"/>
        <v>-1.4173775082179045</v>
      </c>
      <c r="R15" s="440">
        <f t="shared" si="5"/>
        <v>0.29270825213850848</v>
      </c>
      <c r="S15" s="466">
        <f t="shared" si="6"/>
        <v>157372.80576755584</v>
      </c>
      <c r="T15" s="440">
        <f t="shared" si="7"/>
        <v>24766199995.152855</v>
      </c>
      <c r="U15" s="466">
        <f t="shared" si="8"/>
        <v>133345.64650695305</v>
      </c>
      <c r="V15" s="467">
        <f t="shared" si="9"/>
        <v>56707.230395126149</v>
      </c>
      <c r="W15" s="467">
        <f t="shared" si="10"/>
        <v>313558.98213441094</v>
      </c>
      <c r="X15" s="468">
        <f t="shared" si="11"/>
        <v>-0.54132376027840723</v>
      </c>
      <c r="Y15" s="468">
        <f t="shared" si="12"/>
        <v>0.54132376027840723</v>
      </c>
      <c r="Z15" s="441">
        <f t="shared" si="13"/>
        <v>233990.19926972012</v>
      </c>
      <c r="AA15" s="471">
        <f t="shared" si="14"/>
        <v>-0.50405460297014182</v>
      </c>
      <c r="AB15" s="441">
        <f t="shared" si="18"/>
        <v>0.21707604984903545</v>
      </c>
      <c r="AC15" s="802">
        <f t="shared" si="15"/>
        <v>68</v>
      </c>
      <c r="AD15" s="435">
        <f t="shared" si="16"/>
        <v>-1.3590974831483482</v>
      </c>
      <c r="AE15" s="441">
        <f t="shared" si="17"/>
        <v>0.35098827720806469</v>
      </c>
    </row>
    <row r="16" spans="1:32">
      <c r="A16" s="455">
        <v>1965</v>
      </c>
      <c r="B16" s="479">
        <f t="shared" si="0"/>
        <v>1969</v>
      </c>
      <c r="C16" s="515">
        <f>VLOOKUP($A16,'Brd Tbl'!$A$8:$AX$64,2)</f>
        <v>373563.22002911044</v>
      </c>
      <c r="D16" s="458">
        <f>VLOOKUP($A16,'Brd Tbl'!$A$8:$AX$64,19)</f>
        <v>3.3726543449790529E-2</v>
      </c>
      <c r="E16" s="461">
        <v>48</v>
      </c>
      <c r="F16" s="461">
        <v>46</v>
      </c>
      <c r="G16" s="462">
        <v>-0.27725197569659232</v>
      </c>
      <c r="H16" s="462">
        <v>-1.1229059989611453E-6</v>
      </c>
      <c r="I16" s="463">
        <v>5.1982806941945924E-7</v>
      </c>
      <c r="J16" s="461">
        <v>-0.69672835645852271</v>
      </c>
      <c r="K16" s="461">
        <v>0.65659261056457141</v>
      </c>
      <c r="L16" s="461">
        <v>9.2097671291395691E-2</v>
      </c>
      <c r="M16" s="462">
        <v>0.4460185440100925</v>
      </c>
      <c r="N16" s="458">
        <f t="shared" si="1"/>
        <v>0.73045489990831325</v>
      </c>
      <c r="O16" s="440">
        <f t="shared" si="2"/>
        <v>0.53356436080006397</v>
      </c>
      <c r="P16" s="465">
        <f t="shared" si="3"/>
        <v>-0.69672835645852271</v>
      </c>
      <c r="Q16" s="440">
        <f t="shared" si="4"/>
        <v>-1.5517712366367293</v>
      </c>
      <c r="R16" s="440">
        <f t="shared" si="5"/>
        <v>0.1583145237196838</v>
      </c>
      <c r="S16" s="466">
        <f t="shared" si="6"/>
        <v>200263.17678307611</v>
      </c>
      <c r="T16" s="440">
        <f t="shared" si="7"/>
        <v>40105339975.249596</v>
      </c>
      <c r="U16" s="466">
        <f t="shared" si="8"/>
        <v>186113.90850634381</v>
      </c>
      <c r="V16" s="467">
        <f t="shared" si="9"/>
        <v>79147.72297314067</v>
      </c>
      <c r="W16" s="467">
        <f t="shared" si="10"/>
        <v>437642.24210546759</v>
      </c>
      <c r="X16" s="468">
        <f t="shared" si="11"/>
        <v>-0.51831018041110488</v>
      </c>
      <c r="Y16" s="468">
        <f t="shared" si="12"/>
        <v>0.51831018041110488</v>
      </c>
      <c r="Z16" s="441">
        <f t="shared" si="13"/>
        <v>373563.22002911044</v>
      </c>
      <c r="AA16" s="471">
        <f t="shared" si="14"/>
        <v>-0.67067477584123403</v>
      </c>
      <c r="AB16" s="441">
        <f t="shared" si="18"/>
        <v>3.3726543449790529E-2</v>
      </c>
      <c r="AC16" s="802">
        <f t="shared" si="15"/>
        <v>69</v>
      </c>
      <c r="AD16" s="435">
        <f t="shared" si="16"/>
        <v>-1.5257176560194405</v>
      </c>
      <c r="AE16" s="441">
        <f t="shared" si="17"/>
        <v>0.18436810433697248</v>
      </c>
    </row>
    <row r="17" spans="1:31">
      <c r="A17" s="455">
        <v>1966</v>
      </c>
      <c r="B17" s="479">
        <f t="shared" si="0"/>
        <v>1970</v>
      </c>
      <c r="C17" s="515">
        <f>VLOOKUP($A17,'Brd Tbl'!$A$8:$AX$64,2)</f>
        <v>374673.10456808144</v>
      </c>
      <c r="D17" s="458">
        <f>VLOOKUP($A17,'Brd Tbl'!$A$8:$AX$64,19)</f>
        <v>-0.21509850150529286</v>
      </c>
      <c r="E17" s="461">
        <v>48</v>
      </c>
      <c r="F17" s="461">
        <v>46</v>
      </c>
      <c r="G17" s="462">
        <v>-0.25861465479956225</v>
      </c>
      <c r="H17" s="462">
        <v>-1.1481448288876442E-6</v>
      </c>
      <c r="I17" s="463">
        <v>5.2366222937224986E-7</v>
      </c>
      <c r="J17" s="461">
        <v>-0.68879364233268459</v>
      </c>
      <c r="K17" s="461">
        <v>0.66150912587611865</v>
      </c>
      <c r="L17" s="461">
        <v>9.4616246074382224E-2</v>
      </c>
      <c r="M17" s="462">
        <v>0.4524597372258547</v>
      </c>
      <c r="N17" s="458">
        <f t="shared" si="1"/>
        <v>0.47369514082739173</v>
      </c>
      <c r="O17" s="440">
        <f t="shared" si="2"/>
        <v>0.22438708644348249</v>
      </c>
      <c r="P17" s="465">
        <f t="shared" si="3"/>
        <v>-0.68879364233268459</v>
      </c>
      <c r="Q17" s="440">
        <f t="shared" si="4"/>
        <v>-1.5438365225108912</v>
      </c>
      <c r="R17" s="440">
        <f t="shared" si="5"/>
        <v>0.16624923784552192</v>
      </c>
      <c r="S17" s="466">
        <f t="shared" si="6"/>
        <v>114005.71368329556</v>
      </c>
      <c r="T17" s="440">
        <f t="shared" si="7"/>
        <v>12997302752.437565</v>
      </c>
      <c r="U17" s="466">
        <f t="shared" si="8"/>
        <v>188153.90702736928</v>
      </c>
      <c r="V17" s="467">
        <f t="shared" si="9"/>
        <v>80015.262852903281</v>
      </c>
      <c r="W17" s="467">
        <f t="shared" si="10"/>
        <v>442439.24805627746</v>
      </c>
      <c r="X17" s="468">
        <f t="shared" si="11"/>
        <v>-0.37730294145577636</v>
      </c>
      <c r="Y17" s="468">
        <f t="shared" si="12"/>
        <v>0.37730294145577636</v>
      </c>
      <c r="Z17" s="441">
        <f t="shared" si="13"/>
        <v>374673.10456808144</v>
      </c>
      <c r="AA17" s="471">
        <f t="shared" si="14"/>
        <v>-0.67199973931013468</v>
      </c>
      <c r="AB17" s="441">
        <f t="shared" si="18"/>
        <v>-0.21509850150529286</v>
      </c>
      <c r="AC17" s="802">
        <f t="shared" si="15"/>
        <v>70</v>
      </c>
      <c r="AD17" s="435">
        <f t="shared" si="16"/>
        <v>-1.5270426194883413</v>
      </c>
      <c r="AE17" s="441">
        <f t="shared" si="17"/>
        <v>0.18304314086807183</v>
      </c>
    </row>
    <row r="18" spans="1:31">
      <c r="A18" s="455">
        <v>1967</v>
      </c>
      <c r="B18" s="479">
        <f t="shared" si="0"/>
        <v>1971</v>
      </c>
      <c r="C18" s="515">
        <f>VLOOKUP($A18,'Brd Tbl'!$A$8:$AX$64,2)</f>
        <v>152518.20574374442</v>
      </c>
      <c r="D18" s="458">
        <f>VLOOKUP($A18,'Brd Tbl'!$A$8:$AX$64,19)</f>
        <v>-0.44926187062264583</v>
      </c>
      <c r="E18" s="461">
        <v>48</v>
      </c>
      <c r="F18" s="461">
        <v>46</v>
      </c>
      <c r="G18" s="462">
        <v>-0.21784436510861949</v>
      </c>
      <c r="H18" s="462">
        <v>-1.2049070770370393E-6</v>
      </c>
      <c r="I18" s="463">
        <v>5.4765263518302697E-7</v>
      </c>
      <c r="J18" s="461">
        <v>-0.40161463058624836</v>
      </c>
      <c r="K18" s="461">
        <v>0.66502283930316652</v>
      </c>
      <c r="L18" s="461">
        <v>9.5210821619153369E-2</v>
      </c>
      <c r="M18" s="462">
        <v>0.45708717112086289</v>
      </c>
      <c r="N18" s="458">
        <f t="shared" si="1"/>
        <v>-4.7647240036397476E-2</v>
      </c>
      <c r="O18" s="440">
        <f t="shared" si="2"/>
        <v>2.2702594830860787E-3</v>
      </c>
      <c r="P18" s="465">
        <f t="shared" si="3"/>
        <v>-0.40161463058624836</v>
      </c>
      <c r="Q18" s="440">
        <f t="shared" si="4"/>
        <v>-1.2566575107644549</v>
      </c>
      <c r="R18" s="440">
        <f t="shared" si="5"/>
        <v>0.45342824959195815</v>
      </c>
      <c r="S18" s="466">
        <f t="shared" si="6"/>
        <v>-4749.3593746359111</v>
      </c>
      <c r="T18" s="440">
        <f t="shared" si="7"/>
        <v>22556414.469442014</v>
      </c>
      <c r="U18" s="466">
        <f t="shared" si="8"/>
        <v>102071.07050011084</v>
      </c>
      <c r="V18" s="467">
        <f t="shared" si="9"/>
        <v>43407.249228981287</v>
      </c>
      <c r="W18" s="467">
        <f t="shared" si="10"/>
        <v>240017.59194827254</v>
      </c>
      <c r="X18" s="468">
        <f t="shared" si="11"/>
        <v>4.8800615193794292E-2</v>
      </c>
      <c r="Y18" s="468">
        <f t="shared" si="12"/>
        <v>4.8800615193794292E-2</v>
      </c>
      <c r="Z18" s="441">
        <f t="shared" si="13"/>
        <v>152518.20574374442</v>
      </c>
      <c r="AA18" s="471">
        <f t="shared" si="14"/>
        <v>-0.40679456251538737</v>
      </c>
      <c r="AB18" s="441">
        <f t="shared" si="18"/>
        <v>-0.44926187062264583</v>
      </c>
      <c r="AC18" s="802">
        <f t="shared" si="15"/>
        <v>71</v>
      </c>
      <c r="AD18" s="435">
        <f t="shared" si="16"/>
        <v>-1.2618374426935939</v>
      </c>
      <c r="AE18" s="441">
        <f t="shared" si="17"/>
        <v>0.44824831766281914</v>
      </c>
    </row>
    <row r="19" spans="1:31">
      <c r="A19" s="455">
        <v>1968</v>
      </c>
      <c r="B19" s="479">
        <f t="shared" si="0"/>
        <v>1972</v>
      </c>
      <c r="C19" s="515">
        <f>VLOOKUP($A19,'Brd Tbl'!$A$8:$AX$64,2)</f>
        <v>234701.76831870052</v>
      </c>
      <c r="D19" s="458">
        <f>VLOOKUP($A19,'Brd Tbl'!$A$8:$AX$64,19)</f>
        <v>-0.47552081847182748</v>
      </c>
      <c r="E19" s="461">
        <v>48</v>
      </c>
      <c r="F19" s="461">
        <v>46</v>
      </c>
      <c r="G19" s="462">
        <v>-0.22844788946895411</v>
      </c>
      <c r="H19" s="462">
        <v>-1.1879839025919587E-6</v>
      </c>
      <c r="I19" s="463">
        <v>5.3745290965939588E-7</v>
      </c>
      <c r="J19" s="461">
        <v>-0.50726981214143763</v>
      </c>
      <c r="K19" s="461">
        <v>0.66504066391084238</v>
      </c>
      <c r="L19" s="461">
        <v>9.6015915596671178E-2</v>
      </c>
      <c r="M19" s="462">
        <v>0.45711346822261406</v>
      </c>
      <c r="N19" s="458">
        <f t="shared" si="1"/>
        <v>3.1748993669610148E-2</v>
      </c>
      <c r="O19" s="440">
        <f t="shared" si="2"/>
        <v>1.0079985990329452E-3</v>
      </c>
      <c r="P19" s="465">
        <f t="shared" si="3"/>
        <v>-0.50726981214143763</v>
      </c>
      <c r="Q19" s="440">
        <f t="shared" si="4"/>
        <v>-1.362312692319644</v>
      </c>
      <c r="R19" s="440">
        <f t="shared" si="5"/>
        <v>0.34777306803676888</v>
      </c>
      <c r="S19" s="466">
        <f t="shared" si="6"/>
        <v>4558.8393923007243</v>
      </c>
      <c r="T19" s="440">
        <f t="shared" si="7"/>
        <v>20783016.604792837</v>
      </c>
      <c r="U19" s="466">
        <f t="shared" si="8"/>
        <v>141322.68546941379</v>
      </c>
      <c r="V19" s="467">
        <f t="shared" si="9"/>
        <v>60099.585512558282</v>
      </c>
      <c r="W19" s="467">
        <f t="shared" si="10"/>
        <v>332316.79150455259</v>
      </c>
      <c r="X19" s="468">
        <f t="shared" si="11"/>
        <v>-3.1250286125142891E-2</v>
      </c>
      <c r="Y19" s="468">
        <f t="shared" si="12"/>
        <v>3.1250286125142891E-2</v>
      </c>
      <c r="Z19" s="441">
        <f t="shared" si="13"/>
        <v>234701.76831870052</v>
      </c>
      <c r="AA19" s="471">
        <f t="shared" si="14"/>
        <v>-0.50490406339813687</v>
      </c>
      <c r="AB19" s="441">
        <f t="shared" si="18"/>
        <v>-0.47552081847182748</v>
      </c>
      <c r="AC19" s="802">
        <f t="shared" si="15"/>
        <v>72</v>
      </c>
      <c r="AD19" s="435">
        <f t="shared" si="16"/>
        <v>-1.3599469435763434</v>
      </c>
      <c r="AE19" s="441">
        <f t="shared" si="17"/>
        <v>0.35013881678006964</v>
      </c>
    </row>
    <row r="20" spans="1:31">
      <c r="A20" s="455">
        <v>1969</v>
      </c>
      <c r="B20" s="479">
        <f t="shared" si="0"/>
        <v>1973</v>
      </c>
      <c r="C20" s="515">
        <f>VLOOKUP($A20,'Brd Tbl'!$A$8:$AX$64,2)</f>
        <v>527822.37255732983</v>
      </c>
      <c r="D20" s="458">
        <f>VLOOKUP($A20,'Brd Tbl'!$A$8:$AX$64,19)</f>
        <v>-1.6485601513558406</v>
      </c>
      <c r="E20" s="461">
        <v>48</v>
      </c>
      <c r="F20" s="461">
        <v>46</v>
      </c>
      <c r="G20" s="462">
        <v>-0.20738834528744443</v>
      </c>
      <c r="H20" s="462">
        <v>-1.1952846649314498E-6</v>
      </c>
      <c r="I20" s="463">
        <v>5.1408975087295751E-7</v>
      </c>
      <c r="J20" s="461">
        <v>-0.8382863330129553</v>
      </c>
      <c r="K20" s="461">
        <v>0.65446010967486257</v>
      </c>
      <c r="L20" s="461">
        <v>0.10516038657285254</v>
      </c>
      <c r="M20" s="462">
        <v>0.44345647526234466</v>
      </c>
      <c r="N20" s="458">
        <f t="shared" si="1"/>
        <v>-0.81027381834288525</v>
      </c>
      <c r="O20" s="440">
        <f t="shared" si="2"/>
        <v>0.65654366069195902</v>
      </c>
      <c r="P20" s="465">
        <f t="shared" si="3"/>
        <v>-0.8382863330129553</v>
      </c>
      <c r="Q20" s="440">
        <f t="shared" si="4"/>
        <v>-1.6933292131911619</v>
      </c>
      <c r="R20" s="440">
        <f t="shared" si="5"/>
        <v>1.6756547165251212E-2</v>
      </c>
      <c r="S20" s="466">
        <f t="shared" si="6"/>
        <v>-126742.99629462358</v>
      </c>
      <c r="T20" s="440">
        <f t="shared" si="7"/>
        <v>16063787109.738966</v>
      </c>
      <c r="U20" s="466">
        <f t="shared" si="8"/>
        <v>228257.29475984172</v>
      </c>
      <c r="V20" s="467">
        <f t="shared" si="9"/>
        <v>97069.828242496311</v>
      </c>
      <c r="W20" s="467">
        <f t="shared" si="10"/>
        <v>536741.37014977983</v>
      </c>
      <c r="X20" s="468">
        <f t="shared" si="11"/>
        <v>1.2485235893941535</v>
      </c>
      <c r="Y20" s="468">
        <f t="shared" si="12"/>
        <v>1.2485235893941535</v>
      </c>
      <c r="Z20" s="441">
        <f t="shared" si="13"/>
        <v>527822.37255732983</v>
      </c>
      <c r="AA20" s="471">
        <f t="shared" si="14"/>
        <v>-0.85482703192451337</v>
      </c>
      <c r="AB20" s="441">
        <f t="shared" si="18"/>
        <v>-1.6485601513558406</v>
      </c>
      <c r="AC20" s="802">
        <f t="shared" si="15"/>
        <v>73</v>
      </c>
      <c r="AD20" s="435">
        <f t="shared" si="16"/>
        <v>-1.7098699121027199</v>
      </c>
      <c r="AE20" s="441">
        <f t="shared" si="17"/>
        <v>2.1584825369314053E-4</v>
      </c>
    </row>
    <row r="21" spans="1:31">
      <c r="A21" s="455">
        <v>1970</v>
      </c>
      <c r="B21" s="479">
        <f t="shared" si="0"/>
        <v>1974</v>
      </c>
      <c r="C21" s="515">
        <f>VLOOKUP($A21,'Brd Tbl'!$A$8:$AX$64,2)</f>
        <v>329729.48946597357</v>
      </c>
      <c r="D21" s="458">
        <f>VLOOKUP($A21,'Brd Tbl'!$A$8:$AX$64,19)</f>
        <v>-1.3682363043712236</v>
      </c>
      <c r="E21" s="461">
        <v>48</v>
      </c>
      <c r="F21" s="461">
        <v>46</v>
      </c>
      <c r="G21" s="462">
        <v>-0.15695136784976349</v>
      </c>
      <c r="H21" s="462">
        <v>-1.2912530764196289E-6</v>
      </c>
      <c r="I21" s="463">
        <v>5.2147771032810969E-7</v>
      </c>
      <c r="J21" s="461">
        <v>-0.5827155855089754</v>
      </c>
      <c r="K21" s="461">
        <v>0.65535780109816599</v>
      </c>
      <c r="L21" s="461">
        <v>0.11761232615447523</v>
      </c>
      <c r="M21" s="462">
        <v>0.4442794098650551</v>
      </c>
      <c r="N21" s="458">
        <f t="shared" si="1"/>
        <v>-0.78552071886224817</v>
      </c>
      <c r="O21" s="440">
        <f t="shared" si="2"/>
        <v>0.61704279976186316</v>
      </c>
      <c r="P21" s="465">
        <f t="shared" si="3"/>
        <v>-0.5827155855089754</v>
      </c>
      <c r="Q21" s="440">
        <f t="shared" si="4"/>
        <v>-1.4377584656871818</v>
      </c>
      <c r="R21" s="440">
        <f t="shared" si="5"/>
        <v>0.27232729466923111</v>
      </c>
      <c r="S21" s="466">
        <f t="shared" si="6"/>
        <v>-100179.88241177883</v>
      </c>
      <c r="T21" s="440">
        <f t="shared" si="7"/>
        <v>10036008840.037834</v>
      </c>
      <c r="U21" s="466">
        <f t="shared" si="8"/>
        <v>184114.34483185734</v>
      </c>
      <c r="V21" s="467">
        <f t="shared" si="9"/>
        <v>78297.378616582209</v>
      </c>
      <c r="W21" s="467">
        <f t="shared" si="10"/>
        <v>432940.31769391784</v>
      </c>
      <c r="X21" s="468">
        <f t="shared" si="11"/>
        <v>1.1935488656661029</v>
      </c>
      <c r="Y21" s="468">
        <f t="shared" si="12"/>
        <v>1.1935488656661029</v>
      </c>
      <c r="Z21" s="441">
        <f t="shared" si="13"/>
        <v>329729.48946597357</v>
      </c>
      <c r="AA21" s="471">
        <f t="shared" si="14"/>
        <v>-0.61834672759611231</v>
      </c>
      <c r="AB21" s="441">
        <f t="shared" si="18"/>
        <v>-1.3682363043712236</v>
      </c>
      <c r="AC21" s="802">
        <f t="shared" si="15"/>
        <v>74</v>
      </c>
      <c r="AD21" s="435">
        <f t="shared" si="16"/>
        <v>-1.4733896077743189</v>
      </c>
      <c r="AE21" s="441">
        <f t="shared" si="17"/>
        <v>0.2366961525820942</v>
      </c>
    </row>
    <row r="22" spans="1:31">
      <c r="A22" s="455">
        <v>1971</v>
      </c>
      <c r="B22" s="479">
        <f t="shared" si="0"/>
        <v>1975</v>
      </c>
      <c r="C22" s="515">
        <f>VLOOKUP($A22,'Brd Tbl'!$A$8:$AX$64,2)</f>
        <v>585402.09872581216</v>
      </c>
      <c r="D22" s="458">
        <f>VLOOKUP($A22,'Brd Tbl'!$A$8:$AX$64,19)</f>
        <v>-2.493855132176392</v>
      </c>
      <c r="E22" s="461">
        <v>48</v>
      </c>
      <c r="F22" s="461">
        <v>46</v>
      </c>
      <c r="G22" s="462">
        <v>-0.22065538018837394</v>
      </c>
      <c r="H22" s="462">
        <v>-1.1396978240242548E-6</v>
      </c>
      <c r="I22" s="463">
        <v>4.8942290946501973E-7</v>
      </c>
      <c r="J22" s="461">
        <v>-0.88783687828541402</v>
      </c>
      <c r="K22" s="461">
        <v>0.62247500236544151</v>
      </c>
      <c r="L22" s="461">
        <v>0.10545240090460953</v>
      </c>
      <c r="M22" s="462">
        <v>0.4033991633636142</v>
      </c>
      <c r="N22" s="458">
        <f t="shared" si="1"/>
        <v>-1.606018253890978</v>
      </c>
      <c r="O22" s="440">
        <f t="shared" si="2"/>
        <v>2.5792946318310257</v>
      </c>
      <c r="P22" s="465">
        <f t="shared" si="3"/>
        <v>-0.88783687828541402</v>
      </c>
      <c r="Q22" s="440">
        <f t="shared" si="4"/>
        <v>-1.7428797584636206</v>
      </c>
      <c r="R22" s="440">
        <f t="shared" si="5"/>
        <v>-3.2793998107207512E-2</v>
      </c>
      <c r="S22" s="466">
        <f t="shared" si="6"/>
        <v>-192570.39685085614</v>
      </c>
      <c r="T22" s="440">
        <f t="shared" si="7"/>
        <v>37083357743.296227</v>
      </c>
      <c r="U22" s="466">
        <f t="shared" si="8"/>
        <v>240919.31407874194</v>
      </c>
      <c r="V22" s="467">
        <f t="shared" si="9"/>
        <v>102454.54132157666</v>
      </c>
      <c r="W22" s="467">
        <f t="shared" si="10"/>
        <v>566515.79468784353</v>
      </c>
      <c r="X22" s="468">
        <f t="shared" si="11"/>
        <v>3.9829309091494802</v>
      </c>
      <c r="Y22" s="468">
        <f t="shared" si="12"/>
        <v>3.9829309091494802</v>
      </c>
      <c r="Z22" s="441">
        <f t="shared" si="13"/>
        <v>585402.09872581216</v>
      </c>
      <c r="AA22" s="471">
        <f t="shared" si="14"/>
        <v>-0.92356484297040065</v>
      </c>
      <c r="AB22" s="441">
        <f t="shared" si="18"/>
        <v>-2.493855132176392</v>
      </c>
      <c r="AC22" s="802">
        <f t="shared" si="15"/>
        <v>75</v>
      </c>
      <c r="AD22" s="435">
        <f t="shared" si="16"/>
        <v>-1.7786077231486073</v>
      </c>
      <c r="AE22" s="441">
        <f t="shared" si="17"/>
        <v>-6.8521962792194135E-2</v>
      </c>
    </row>
    <row r="23" spans="1:31">
      <c r="A23" s="455">
        <v>1972</v>
      </c>
      <c r="B23" s="479">
        <f t="shared" si="0"/>
        <v>1976</v>
      </c>
      <c r="C23" s="515">
        <f>VLOOKUP($A23,'Brd Tbl'!$A$8:$AX$64,2)</f>
        <v>408348.74565424217</v>
      </c>
      <c r="D23" s="458">
        <f>VLOOKUP($A23,'Brd Tbl'!$A$8:$AX$64,19)</f>
        <v>-1.0702079597868799</v>
      </c>
      <c r="E23" s="461">
        <v>48</v>
      </c>
      <c r="F23" s="461">
        <v>46</v>
      </c>
      <c r="G23" s="462">
        <v>-0.2023907931593163</v>
      </c>
      <c r="H23" s="462">
        <v>-1.2216666501181347E-6</v>
      </c>
      <c r="I23" s="463">
        <v>5.2319037196245996E-7</v>
      </c>
      <c r="J23" s="461">
        <v>-0.70125683734267652</v>
      </c>
      <c r="K23" s="461">
        <v>0.662893587623404</v>
      </c>
      <c r="L23" s="461">
        <v>0.1059694058536671</v>
      </c>
      <c r="M23" s="462">
        <v>0.45429853213607641</v>
      </c>
      <c r="N23" s="458">
        <f t="shared" si="1"/>
        <v>-0.36895112244420336</v>
      </c>
      <c r="O23" s="440">
        <f t="shared" si="2"/>
        <v>0.13612493075283755</v>
      </c>
      <c r="P23" s="465">
        <f t="shared" si="3"/>
        <v>-0.70125683734267652</v>
      </c>
      <c r="Q23" s="440">
        <f t="shared" si="4"/>
        <v>-1.556299717520883</v>
      </c>
      <c r="R23" s="440">
        <f t="shared" si="5"/>
        <v>0.15378604283552999</v>
      </c>
      <c r="S23" s="466">
        <f t="shared" si="6"/>
        <v>-62487.312006146152</v>
      </c>
      <c r="T23" s="440">
        <f t="shared" si="7"/>
        <v>3904664161.7534571</v>
      </c>
      <c r="U23" s="466">
        <f t="shared" si="8"/>
        <v>202525.28454753137</v>
      </c>
      <c r="V23" s="467">
        <f t="shared" si="9"/>
        <v>86126.906070956698</v>
      </c>
      <c r="W23" s="467">
        <f t="shared" si="10"/>
        <v>476233.18602977111</v>
      </c>
      <c r="X23" s="468">
        <f t="shared" si="11"/>
        <v>0.44621691439926675</v>
      </c>
      <c r="Y23" s="468">
        <f t="shared" si="12"/>
        <v>0.44621691439926675</v>
      </c>
      <c r="Z23" s="441">
        <f t="shared" si="13"/>
        <v>408348.74565424217</v>
      </c>
      <c r="AA23" s="471">
        <f t="shared" si="14"/>
        <v>-0.71220121312500484</v>
      </c>
      <c r="AB23" s="441">
        <f t="shared" si="18"/>
        <v>-1.0702079597868799</v>
      </c>
      <c r="AC23" s="802">
        <f t="shared" si="15"/>
        <v>76</v>
      </c>
      <c r="AD23" s="435">
        <f t="shared" si="16"/>
        <v>-1.5672440933032115</v>
      </c>
      <c r="AE23" s="441">
        <f t="shared" si="17"/>
        <v>0.14284166705320167</v>
      </c>
    </row>
    <row r="24" spans="1:31">
      <c r="A24" s="456">
        <v>1973</v>
      </c>
      <c r="B24" s="479">
        <f t="shared" si="0"/>
        <v>1977</v>
      </c>
      <c r="C24" s="515">
        <f>VLOOKUP($A24,'Brd Tbl'!$A$8:$AX$64,2)</f>
        <v>432244.89386258059</v>
      </c>
      <c r="D24" s="458">
        <f>VLOOKUP($A24,'Brd Tbl'!$A$8:$AX$64,19)</f>
        <v>-2.6568248995962747</v>
      </c>
      <c r="E24" s="461">
        <v>48</v>
      </c>
      <c r="F24" s="461">
        <v>46</v>
      </c>
      <c r="G24" s="462">
        <v>-0.12101236428947593</v>
      </c>
      <c r="H24" s="462">
        <v>-1.3134931337530936E-6</v>
      </c>
      <c r="I24" s="463">
        <v>4.729689664205159E-7</v>
      </c>
      <c r="J24" s="461">
        <v>-0.68876306447781022</v>
      </c>
      <c r="K24" s="461">
        <v>0.60026758074253728</v>
      </c>
      <c r="L24" s="461">
        <v>0.14358717554347969</v>
      </c>
      <c r="M24" s="462">
        <v>0.37644139763405521</v>
      </c>
      <c r="N24" s="458">
        <f t="shared" si="1"/>
        <v>-1.9680618351184644</v>
      </c>
      <c r="O24" s="440">
        <f t="shared" si="2"/>
        <v>3.8732673868498577</v>
      </c>
      <c r="P24" s="465">
        <f t="shared" si="3"/>
        <v>-0.68876306447781022</v>
      </c>
      <c r="Q24" s="440">
        <f t="shared" si="4"/>
        <v>-1.5438059446560168</v>
      </c>
      <c r="R24" s="440">
        <f t="shared" si="5"/>
        <v>0.16627981570039629</v>
      </c>
      <c r="S24" s="466">
        <f t="shared" si="6"/>
        <v>-186741.1202014554</v>
      </c>
      <c r="T24" s="440">
        <f t="shared" si="7"/>
        <v>34872245974.094414</v>
      </c>
      <c r="U24" s="466">
        <f t="shared" si="8"/>
        <v>217072.03285309061</v>
      </c>
      <c r="V24" s="467">
        <f t="shared" si="9"/>
        <v>92313.128338214927</v>
      </c>
      <c r="W24" s="467">
        <f t="shared" si="10"/>
        <v>510439.50405769993</v>
      </c>
      <c r="X24" s="468">
        <f t="shared" si="11"/>
        <v>6.1567919945655758</v>
      </c>
      <c r="Y24" s="468">
        <f t="shared" si="12"/>
        <v>6.1567919945655758</v>
      </c>
      <c r="Z24" s="441">
        <f t="shared" si="13"/>
        <v>432244.89386258059</v>
      </c>
      <c r="AA24" s="471">
        <f t="shared" si="14"/>
        <v>-0.740728075435239</v>
      </c>
      <c r="AB24" s="441">
        <f t="shared" si="18"/>
        <v>-2.6568248995962747</v>
      </c>
      <c r="AC24" s="802">
        <f t="shared" si="15"/>
        <v>77</v>
      </c>
      <c r="AD24" s="435">
        <f t="shared" si="16"/>
        <v>-1.5957709556134456</v>
      </c>
      <c r="AE24" s="441">
        <f t="shared" si="17"/>
        <v>0.11431480474296751</v>
      </c>
    </row>
    <row r="25" spans="1:31">
      <c r="A25" s="455">
        <v>1974</v>
      </c>
      <c r="B25" s="479">
        <f t="shared" si="0"/>
        <v>1978</v>
      </c>
      <c r="C25" s="515">
        <f>VLOOKUP($A25,'Brd Tbl'!$A$8:$AX$64,2)</f>
        <v>209834.48285271373</v>
      </c>
      <c r="D25" s="458">
        <f>VLOOKUP($A25,'Brd Tbl'!$A$8:$AX$64,19)</f>
        <v>-0.30639735044987015</v>
      </c>
      <c r="E25" s="461">
        <v>48</v>
      </c>
      <c r="F25" s="461">
        <v>46</v>
      </c>
      <c r="G25" s="462">
        <v>-0.24785797964764988</v>
      </c>
      <c r="H25" s="462">
        <v>-1.1572827707819887E-6</v>
      </c>
      <c r="I25" s="463">
        <v>5.398227506718308E-7</v>
      </c>
      <c r="J25" s="461">
        <v>-0.49069581136904417</v>
      </c>
      <c r="K25" s="461">
        <v>0.66454720479249707</v>
      </c>
      <c r="L25" s="461">
        <v>9.0836571400239957E-2</v>
      </c>
      <c r="M25" s="462">
        <v>0.45642684480390266</v>
      </c>
      <c r="N25" s="458">
        <f t="shared" si="1"/>
        <v>0.18429846091917401</v>
      </c>
      <c r="O25" s="440">
        <f t="shared" si="2"/>
        <v>3.3965922697176312E-2</v>
      </c>
      <c r="P25" s="465">
        <f t="shared" si="3"/>
        <v>-0.49069581136904417</v>
      </c>
      <c r="Q25" s="440">
        <f t="shared" si="4"/>
        <v>-1.3457386915472507</v>
      </c>
      <c r="R25" s="440">
        <f t="shared" si="5"/>
        <v>0.36434706880916234</v>
      </c>
      <c r="S25" s="466">
        <f t="shared" si="6"/>
        <v>25997.192287719794</v>
      </c>
      <c r="T25" s="440">
        <f t="shared" si="7"/>
        <v>675854006.84467757</v>
      </c>
      <c r="U25" s="466">
        <f t="shared" si="8"/>
        <v>128460.72706667431</v>
      </c>
      <c r="V25" s="467">
        <f t="shared" si="9"/>
        <v>54629.845347935465</v>
      </c>
      <c r="W25" s="467">
        <f t="shared" si="10"/>
        <v>302072.21516731288</v>
      </c>
      <c r="X25" s="468">
        <f t="shared" si="11"/>
        <v>-0.16831245944774673</v>
      </c>
      <c r="Y25" s="468">
        <f t="shared" si="12"/>
        <v>0.16831245944774673</v>
      </c>
      <c r="Z25" s="441">
        <f t="shared" si="13"/>
        <v>209834.48285271373</v>
      </c>
      <c r="AA25" s="471">
        <f t="shared" si="14"/>
        <v>-0.47521787203655341</v>
      </c>
      <c r="AB25" s="441">
        <f t="shared" si="18"/>
        <v>-0.30639735044987015</v>
      </c>
      <c r="AC25" s="802">
        <f t="shared" si="15"/>
        <v>78</v>
      </c>
      <c r="AD25" s="435">
        <f t="shared" si="16"/>
        <v>-1.3302607522147598</v>
      </c>
      <c r="AE25" s="441">
        <f t="shared" si="17"/>
        <v>0.3798250081416531</v>
      </c>
    </row>
    <row r="26" spans="1:31">
      <c r="A26" s="455">
        <v>1975</v>
      </c>
      <c r="B26" s="479">
        <f t="shared" si="0"/>
        <v>1979</v>
      </c>
      <c r="C26" s="515">
        <f>VLOOKUP($A26,'Brd Tbl'!$A$8:$AX$64,2)</f>
        <v>172586.43317981472</v>
      </c>
      <c r="D26" s="458">
        <f>VLOOKUP($A26,'Brd Tbl'!$A$8:$AX$64,19)</f>
        <v>-0.92081696552945402</v>
      </c>
      <c r="E26" s="461">
        <v>48</v>
      </c>
      <c r="F26" s="461">
        <v>46</v>
      </c>
      <c r="G26" s="462">
        <v>-0.14975110703495831</v>
      </c>
      <c r="H26" s="462">
        <v>-1.3140925943295653E-6</v>
      </c>
      <c r="I26" s="463">
        <v>5.4131549305406578E-7</v>
      </c>
      <c r="J26" s="461">
        <v>-0.3765456607583072</v>
      </c>
      <c r="K26" s="461">
        <v>0.66068216272954361</v>
      </c>
      <c r="L26" s="461">
        <v>0.11356397536271716</v>
      </c>
      <c r="M26" s="462">
        <v>0.45096298375181715</v>
      </c>
      <c r="N26" s="458">
        <f t="shared" si="1"/>
        <v>-0.54427130477114682</v>
      </c>
      <c r="O26" s="440">
        <f t="shared" si="2"/>
        <v>0.2962312531972866</v>
      </c>
      <c r="P26" s="465">
        <f t="shared" si="3"/>
        <v>-0.3765456607583072</v>
      </c>
      <c r="Q26" s="440">
        <f t="shared" si="4"/>
        <v>-1.2315885409365137</v>
      </c>
      <c r="R26" s="440">
        <f t="shared" si="5"/>
        <v>0.47849721941989931</v>
      </c>
      <c r="S26" s="466">
        <f t="shared" si="6"/>
        <v>-49710.792721244376</v>
      </c>
      <c r="T26" s="440">
        <f t="shared" si="7"/>
        <v>2471162912.9745226</v>
      </c>
      <c r="U26" s="466">
        <f t="shared" si="8"/>
        <v>118433.60546698821</v>
      </c>
      <c r="V26" s="467">
        <f t="shared" si="9"/>
        <v>50365.661929516209</v>
      </c>
      <c r="W26" s="467">
        <f t="shared" si="10"/>
        <v>278493.6872971016</v>
      </c>
      <c r="X26" s="468">
        <f t="shared" si="11"/>
        <v>0.7233521262460707</v>
      </c>
      <c r="Y26" s="468">
        <f t="shared" si="12"/>
        <v>0.7233521262460707</v>
      </c>
      <c r="Z26" s="441">
        <f t="shared" si="13"/>
        <v>172586.43317981472</v>
      </c>
      <c r="AA26" s="471">
        <f t="shared" si="14"/>
        <v>-0.43075171058327044</v>
      </c>
      <c r="AB26" s="441">
        <f t="shared" si="18"/>
        <v>-0.92081696552945402</v>
      </c>
      <c r="AC26" s="802">
        <f t="shared" si="15"/>
        <v>79</v>
      </c>
      <c r="AD26" s="435">
        <f t="shared" si="16"/>
        <v>-1.285794590761477</v>
      </c>
      <c r="AE26" s="441">
        <f t="shared" si="17"/>
        <v>0.42429116959493607</v>
      </c>
    </row>
    <row r="27" spans="1:31">
      <c r="A27" s="455">
        <v>1976</v>
      </c>
      <c r="B27" s="479">
        <f t="shared" si="0"/>
        <v>1980</v>
      </c>
      <c r="C27" s="515">
        <f>VLOOKUP($A27,'Brd Tbl'!$A$8:$AX$64,2)</f>
        <v>248496.46908689401</v>
      </c>
      <c r="D27" s="458">
        <f>VLOOKUP($A27,'Brd Tbl'!$A$8:$AX$64,19)</f>
        <v>-0.35800866947313981</v>
      </c>
      <c r="E27" s="461">
        <v>48</v>
      </c>
      <c r="F27" s="461">
        <v>46</v>
      </c>
      <c r="G27" s="462">
        <v>-0.24454028432695318</v>
      </c>
      <c r="H27" s="462">
        <v>-1.1631977697480978E-6</v>
      </c>
      <c r="I27" s="463">
        <v>5.3566325342101224E-7</v>
      </c>
      <c r="J27" s="461">
        <v>-0.53359082295910543</v>
      </c>
      <c r="K27" s="461">
        <v>0.664586944332201</v>
      </c>
      <c r="L27" s="461">
        <v>9.2978621686945678E-2</v>
      </c>
      <c r="M27" s="462">
        <v>0.456492195430453</v>
      </c>
      <c r="N27" s="458">
        <f t="shared" si="1"/>
        <v>0.17558215348596562</v>
      </c>
      <c r="O27" s="440">
        <f t="shared" si="2"/>
        <v>3.0829092622769189E-2</v>
      </c>
      <c r="P27" s="465">
        <f t="shared" si="3"/>
        <v>-0.53359082295910543</v>
      </c>
      <c r="Q27" s="440">
        <f t="shared" si="4"/>
        <v>-1.3886337031373119</v>
      </c>
      <c r="R27" s="440">
        <f t="shared" si="5"/>
        <v>0.32145205721910108</v>
      </c>
      <c r="S27" s="466">
        <f t="shared" si="6"/>
        <v>27973.702471731958</v>
      </c>
      <c r="T27" s="440">
        <f t="shared" si="7"/>
        <v>782528029.97698271</v>
      </c>
      <c r="U27" s="466">
        <f t="shared" si="8"/>
        <v>145741.98227111602</v>
      </c>
      <c r="V27" s="467">
        <f t="shared" si="9"/>
        <v>61978.957569189362</v>
      </c>
      <c r="W27" s="467">
        <f t="shared" si="10"/>
        <v>342708.6583797817</v>
      </c>
      <c r="X27" s="468">
        <f t="shared" si="11"/>
        <v>-0.16103152984223354</v>
      </c>
      <c r="Y27" s="468">
        <f t="shared" si="12"/>
        <v>0.16103152984223354</v>
      </c>
      <c r="Z27" s="441">
        <f t="shared" si="13"/>
        <v>248496.46908689401</v>
      </c>
      <c r="AA27" s="471">
        <f t="shared" si="14"/>
        <v>-0.52137196968973831</v>
      </c>
      <c r="AB27" s="441">
        <f t="shared" si="18"/>
        <v>-0.35800866947313981</v>
      </c>
      <c r="AC27" s="802">
        <f t="shared" si="15"/>
        <v>80</v>
      </c>
      <c r="AD27" s="435">
        <f t="shared" si="16"/>
        <v>-1.3764148498679449</v>
      </c>
      <c r="AE27" s="441">
        <f t="shared" si="17"/>
        <v>0.3336709104884682</v>
      </c>
    </row>
    <row r="28" spans="1:31">
      <c r="A28" s="455">
        <v>1977</v>
      </c>
      <c r="B28" s="479">
        <f t="shared" si="0"/>
        <v>1981</v>
      </c>
      <c r="C28" s="515">
        <f>VLOOKUP($A28,'Brd Tbl'!$A$8:$AX$64,2)</f>
        <v>357096.4249518197</v>
      </c>
      <c r="D28" s="458">
        <f>VLOOKUP($A28,'Brd Tbl'!$A$8:$AX$64,19)</f>
        <v>-0.97162839572725168</v>
      </c>
      <c r="E28" s="461">
        <v>48</v>
      </c>
      <c r="F28" s="461">
        <v>46</v>
      </c>
      <c r="G28" s="462">
        <v>-0.19892762964274613</v>
      </c>
      <c r="H28" s="462">
        <v>-1.2295486419448868E-6</v>
      </c>
      <c r="I28" s="463">
        <v>5.2606067907925953E-7</v>
      </c>
      <c r="J28" s="461">
        <v>-0.63799505398563028</v>
      </c>
      <c r="K28" s="461">
        <v>0.66330536149534336</v>
      </c>
      <c r="L28" s="461">
        <v>0.10615143335816941</v>
      </c>
      <c r="M28" s="462">
        <v>0.45481548472005895</v>
      </c>
      <c r="N28" s="458">
        <f t="shared" si="1"/>
        <v>-0.3336333417416214</v>
      </c>
      <c r="O28" s="440">
        <f t="shared" si="2"/>
        <v>0.11131120672168153</v>
      </c>
      <c r="P28" s="465">
        <f t="shared" si="3"/>
        <v>-0.63799505398563028</v>
      </c>
      <c r="Q28" s="440">
        <f t="shared" si="4"/>
        <v>-1.4930379341638367</v>
      </c>
      <c r="R28" s="440">
        <f t="shared" si="5"/>
        <v>0.21704782619257623</v>
      </c>
      <c r="S28" s="466">
        <f t="shared" si="6"/>
        <v>-53523.195597938058</v>
      </c>
      <c r="T28" s="440">
        <f t="shared" si="7"/>
        <v>2864732467.0151358</v>
      </c>
      <c r="U28" s="466">
        <f t="shared" si="8"/>
        <v>188672.13802147319</v>
      </c>
      <c r="V28" s="467">
        <f t="shared" si="9"/>
        <v>80235.648333422243</v>
      </c>
      <c r="W28" s="467">
        <f t="shared" si="10"/>
        <v>443657.85539201275</v>
      </c>
      <c r="X28" s="468">
        <f t="shared" si="11"/>
        <v>0.39603118336068766</v>
      </c>
      <c r="Y28" s="468">
        <f t="shared" si="12"/>
        <v>0.39603118336068766</v>
      </c>
      <c r="Z28" s="441">
        <f t="shared" si="13"/>
        <v>357096.4249518197</v>
      </c>
      <c r="AA28" s="471">
        <f t="shared" si="14"/>
        <v>-0.65101696355428151</v>
      </c>
      <c r="AB28" s="441">
        <f t="shared" si="18"/>
        <v>-0.97162839572725168</v>
      </c>
      <c r="AC28" s="802">
        <f t="shared" si="15"/>
        <v>81</v>
      </c>
      <c r="AD28" s="435">
        <f t="shared" si="16"/>
        <v>-1.5060598437324879</v>
      </c>
      <c r="AE28" s="441">
        <f t="shared" si="17"/>
        <v>0.204025916623925</v>
      </c>
    </row>
    <row r="29" spans="1:31">
      <c r="A29" s="455">
        <v>1978</v>
      </c>
      <c r="B29" s="479">
        <f t="shared" si="0"/>
        <v>1982</v>
      </c>
      <c r="C29" s="515">
        <f>VLOOKUP($A29,'Brd Tbl'!$A$8:$AX$64,2)</f>
        <v>234393.70547443983</v>
      </c>
      <c r="D29" s="458">
        <f>VLOOKUP($A29,'Brd Tbl'!$A$8:$AX$64,19)</f>
        <v>0.42908929309575849</v>
      </c>
      <c r="E29" s="461">
        <v>48</v>
      </c>
      <c r="F29" s="461">
        <v>46</v>
      </c>
      <c r="G29" s="462">
        <v>-0.34326731982347414</v>
      </c>
      <c r="H29" s="462">
        <v>-1.0092475072335002E-6</v>
      </c>
      <c r="I29" s="463">
        <v>5.2490817992588617E-7</v>
      </c>
      <c r="J29" s="461">
        <v>-0.57982858278477578</v>
      </c>
      <c r="K29" s="461">
        <v>0.64947837313293544</v>
      </c>
      <c r="L29" s="461">
        <v>7.4387516722548383E-2</v>
      </c>
      <c r="M29" s="462">
        <v>0.43592789985444219</v>
      </c>
      <c r="N29" s="458">
        <f t="shared" si="1"/>
        <v>1.0089178758805342</v>
      </c>
      <c r="O29" s="440">
        <f t="shared" si="2"/>
        <v>1.017915280271289</v>
      </c>
      <c r="P29" s="465">
        <f t="shared" si="3"/>
        <v>-0.57982858278477578</v>
      </c>
      <c r="Q29" s="440">
        <f t="shared" si="4"/>
        <v>-1.4348714629629824</v>
      </c>
      <c r="R29" s="440">
        <f t="shared" si="5"/>
        <v>0.27521429739343073</v>
      </c>
      <c r="S29" s="466">
        <f t="shared" si="6"/>
        <v>228736.33652570317</v>
      </c>
      <c r="T29" s="440">
        <f t="shared" si="7"/>
        <v>52320311647.19973</v>
      </c>
      <c r="U29" s="466">
        <f t="shared" si="8"/>
        <v>131259.150978144</v>
      </c>
      <c r="V29" s="467">
        <f t="shared" si="9"/>
        <v>55819.916967428988</v>
      </c>
      <c r="W29" s="467">
        <f t="shared" si="10"/>
        <v>308652.63962245447</v>
      </c>
      <c r="X29" s="468">
        <f t="shared" si="11"/>
        <v>-0.63538667696010698</v>
      </c>
      <c r="Y29" s="468">
        <f t="shared" si="12"/>
        <v>0.63538667696010698</v>
      </c>
      <c r="Z29" s="441">
        <f t="shared" si="13"/>
        <v>234393.70547443983</v>
      </c>
      <c r="AA29" s="471">
        <f t="shared" si="14"/>
        <v>-0.50453630260821769</v>
      </c>
      <c r="AB29" s="441">
        <f t="shared" si="18"/>
        <v>0.42908929309575849</v>
      </c>
      <c r="AC29" s="802">
        <f t="shared" si="15"/>
        <v>82</v>
      </c>
      <c r="AD29" s="435">
        <f t="shared" si="16"/>
        <v>-1.3595791827864243</v>
      </c>
      <c r="AE29" s="441">
        <f t="shared" si="17"/>
        <v>0.35050657756998882</v>
      </c>
    </row>
    <row r="30" spans="1:31">
      <c r="A30" s="455">
        <v>1979</v>
      </c>
      <c r="B30" s="479">
        <f t="shared" si="0"/>
        <v>1983</v>
      </c>
      <c r="C30" s="515">
        <f>VLOOKUP($A30,'Brd Tbl'!$A$8:$AX$64,2)</f>
        <v>507703.14743589744</v>
      </c>
      <c r="D30" s="458">
        <f>VLOOKUP($A30,'Brd Tbl'!$A$8:$AX$64,19)</f>
        <v>-0.38200777422510268</v>
      </c>
      <c r="E30" s="461">
        <v>48</v>
      </c>
      <c r="F30" s="461">
        <v>46</v>
      </c>
      <c r="G30" s="462">
        <v>-0.2375441934478687</v>
      </c>
      <c r="H30" s="462">
        <v>-1.1872471807669696E-6</v>
      </c>
      <c r="I30" s="463">
        <v>5.1985157107450647E-7</v>
      </c>
      <c r="J30" s="461">
        <v>-0.84031332390765501</v>
      </c>
      <c r="K30" s="461">
        <v>0.66168563875291264</v>
      </c>
      <c r="L30" s="461">
        <v>0.10184022317510101</v>
      </c>
      <c r="M30" s="462">
        <v>0.45275855200863929</v>
      </c>
      <c r="N30" s="458">
        <f t="shared" si="1"/>
        <v>0.45830554968255233</v>
      </c>
      <c r="O30" s="440">
        <f t="shared" si="2"/>
        <v>0.21004397686982643</v>
      </c>
      <c r="P30" s="465">
        <f t="shared" si="3"/>
        <v>-0.84031332390765501</v>
      </c>
      <c r="Q30" s="440">
        <f t="shared" si="4"/>
        <v>-1.6953562040858614</v>
      </c>
      <c r="R30" s="440">
        <f t="shared" si="5"/>
        <v>1.4729556270551503E-2</v>
      </c>
      <c r="S30" s="466">
        <f t="shared" si="6"/>
        <v>127390.0651236609</v>
      </c>
      <c r="T30" s="440">
        <f t="shared" si="7"/>
        <v>16228228692.210564</v>
      </c>
      <c r="U30" s="466">
        <f t="shared" si="8"/>
        <v>219112.12770162924</v>
      </c>
      <c r="V30" s="467">
        <f t="shared" si="9"/>
        <v>93180.709182693128</v>
      </c>
      <c r="W30" s="467">
        <f t="shared" si="10"/>
        <v>515236.7365202693</v>
      </c>
      <c r="X30" s="468">
        <f t="shared" si="11"/>
        <v>-0.36764576894868956</v>
      </c>
      <c r="Y30" s="468">
        <f t="shared" si="12"/>
        <v>0.36764576894868956</v>
      </c>
      <c r="Z30" s="441">
        <f t="shared" si="13"/>
        <v>507703.14743589744</v>
      </c>
      <c r="AA30" s="471">
        <f t="shared" si="14"/>
        <v>-0.83080900358689891</v>
      </c>
      <c r="AB30" s="441">
        <f t="shared" si="18"/>
        <v>-0.38200777422510268</v>
      </c>
      <c r="AC30" s="802">
        <f t="shared" si="15"/>
        <v>83</v>
      </c>
      <c r="AD30" s="435">
        <f t="shared" si="16"/>
        <v>-1.6858518837651055</v>
      </c>
      <c r="AE30" s="441">
        <f t="shared" si="17"/>
        <v>2.4233876591307602E-2</v>
      </c>
    </row>
    <row r="31" spans="1:31">
      <c r="A31" s="455">
        <v>1980</v>
      </c>
      <c r="B31" s="479">
        <f t="shared" si="0"/>
        <v>1984</v>
      </c>
      <c r="C31" s="515">
        <f>VLOOKUP($A31,'Brd Tbl'!$A$8:$AX$64,2)</f>
        <v>609245.6797237664</v>
      </c>
      <c r="D31" s="458">
        <f>VLOOKUP($A31,'Brd Tbl'!$A$8:$AX$64,19)</f>
        <v>-1.0967603650082336</v>
      </c>
      <c r="E31" s="461">
        <v>48</v>
      </c>
      <c r="F31" s="461">
        <v>46</v>
      </c>
      <c r="G31" s="462">
        <v>-0.22550351493729548</v>
      </c>
      <c r="H31" s="462">
        <v>-1.186607681657726E-6</v>
      </c>
      <c r="I31" s="463">
        <v>5.2315010857739556E-7</v>
      </c>
      <c r="J31" s="461">
        <v>-0.94843911851429941</v>
      </c>
      <c r="K31" s="461">
        <v>0.66470496951496871</v>
      </c>
      <c r="L31" s="461">
        <v>0.10059140479522526</v>
      </c>
      <c r="M31" s="462">
        <v>0.45667615169006243</v>
      </c>
      <c r="N31" s="458">
        <f t="shared" si="1"/>
        <v>-0.14832124649393419</v>
      </c>
      <c r="O31" s="440">
        <f t="shared" si="2"/>
        <v>2.1999192161514386E-2</v>
      </c>
      <c r="P31" s="465">
        <f t="shared" si="3"/>
        <v>-0.94843911851429941</v>
      </c>
      <c r="Q31" s="440">
        <f t="shared" si="4"/>
        <v>-1.8034819986925059</v>
      </c>
      <c r="R31" s="440">
        <f t="shared" si="5"/>
        <v>-9.3396238336092896E-2</v>
      </c>
      <c r="S31" s="466">
        <f t="shared" si="6"/>
        <v>-32530.026381924021</v>
      </c>
      <c r="T31" s="440">
        <f t="shared" si="7"/>
        <v>1058202616.4086728</v>
      </c>
      <c r="U31" s="466">
        <f t="shared" si="8"/>
        <v>235988.36024822804</v>
      </c>
      <c r="V31" s="467">
        <f t="shared" si="9"/>
        <v>100357.57946148247</v>
      </c>
      <c r="W31" s="467">
        <f t="shared" si="10"/>
        <v>554920.77899329585</v>
      </c>
      <c r="X31" s="468">
        <f t="shared" si="11"/>
        <v>0.15988544565247478</v>
      </c>
      <c r="Y31" s="468">
        <f t="shared" si="12"/>
        <v>0.15988544565247478</v>
      </c>
      <c r="Z31" s="441">
        <f t="shared" si="13"/>
        <v>609245.6797237664</v>
      </c>
      <c r="AA31" s="471">
        <f t="shared" si="14"/>
        <v>-0.95202895133553922</v>
      </c>
      <c r="AB31" s="441">
        <f t="shared" si="18"/>
        <v>-1.0967603650082336</v>
      </c>
      <c r="AC31" s="802">
        <f t="shared" si="15"/>
        <v>84</v>
      </c>
      <c r="AD31" s="435">
        <f t="shared" si="16"/>
        <v>-1.8070718315137457</v>
      </c>
      <c r="AE31" s="441">
        <f t="shared" si="17"/>
        <v>-9.6986071157332709E-2</v>
      </c>
    </row>
    <row r="32" spans="1:31">
      <c r="A32" s="455">
        <v>1981</v>
      </c>
      <c r="B32" s="479">
        <f t="shared" si="0"/>
        <v>1985</v>
      </c>
      <c r="C32" s="515">
        <f>VLOOKUP($A32,'Brd Tbl'!$A$8:$AX$64,2)</f>
        <v>779344.03185492684</v>
      </c>
      <c r="D32" s="458">
        <f>VLOOKUP($A32,'Brd Tbl'!$A$8:$AX$64,19)</f>
        <v>-1.6016750701452347</v>
      </c>
      <c r="E32" s="461">
        <v>48</v>
      </c>
      <c r="F32" s="461">
        <v>46</v>
      </c>
      <c r="G32" s="462">
        <v>-0.25365153514453798</v>
      </c>
      <c r="H32" s="462">
        <v>-1.1210461090096721E-6</v>
      </c>
      <c r="I32" s="463">
        <v>5.3009849041655655E-7</v>
      </c>
      <c r="J32" s="461">
        <v>-1.1273321296354135</v>
      </c>
      <c r="K32" s="461">
        <v>0.66158466241628389</v>
      </c>
      <c r="L32" s="461">
        <v>8.8609536456510138E-2</v>
      </c>
      <c r="M32" s="462">
        <v>0.45244694266818769</v>
      </c>
      <c r="N32" s="458">
        <f t="shared" si="1"/>
        <v>-0.47434294050982118</v>
      </c>
      <c r="O32" s="440">
        <f t="shared" si="2"/>
        <v>0.22500122521150376</v>
      </c>
      <c r="P32" s="465">
        <f t="shared" si="3"/>
        <v>-1.1273321296354135</v>
      </c>
      <c r="Q32" s="440">
        <f t="shared" si="4"/>
        <v>-1.9823750098136199</v>
      </c>
      <c r="R32" s="440">
        <f t="shared" si="5"/>
        <v>-0.27228924945720701</v>
      </c>
      <c r="S32" s="466">
        <f t="shared" si="6"/>
        <v>-95343.084388085204</v>
      </c>
      <c r="T32" s="440">
        <f t="shared" si="7"/>
        <v>9090303740.6335373</v>
      </c>
      <c r="U32" s="466">
        <f t="shared" si="8"/>
        <v>252426.58435814735</v>
      </c>
      <c r="V32" s="467">
        <f t="shared" si="9"/>
        <v>107348.18010204638</v>
      </c>
      <c r="W32" s="467">
        <f t="shared" si="10"/>
        <v>593574.85548566096</v>
      </c>
      <c r="X32" s="468">
        <f t="shared" si="11"/>
        <v>0.60695798353268315</v>
      </c>
      <c r="Y32" s="468">
        <f t="shared" si="12"/>
        <v>0.60695798353268315</v>
      </c>
      <c r="Z32" s="441">
        <f t="shared" si="13"/>
        <v>779344.03185492684</v>
      </c>
      <c r="AA32" s="471">
        <f t="shared" si="14"/>
        <v>-1.1550898056681276</v>
      </c>
      <c r="AB32" s="441">
        <f t="shared" si="18"/>
        <v>-1.6016750701452347</v>
      </c>
      <c r="AC32" s="802">
        <f t="shared" si="15"/>
        <v>85</v>
      </c>
      <c r="AD32" s="435">
        <f t="shared" si="16"/>
        <v>-2.010132685846334</v>
      </c>
      <c r="AE32" s="441">
        <f t="shared" si="17"/>
        <v>-0.30004692548992107</v>
      </c>
    </row>
    <row r="33" spans="1:35">
      <c r="A33" s="455">
        <v>1982</v>
      </c>
      <c r="B33" s="479">
        <f t="shared" si="0"/>
        <v>1986</v>
      </c>
      <c r="C33" s="515">
        <f>VLOOKUP($A33,'Brd Tbl'!$A$8:$AX$64,2)</f>
        <v>609259.17976030742</v>
      </c>
      <c r="D33" s="458">
        <f>VLOOKUP($A33,'Brd Tbl'!$A$8:$AX$64,19)</f>
        <v>-0.73481071082104277</v>
      </c>
      <c r="E33" s="461">
        <v>48</v>
      </c>
      <c r="F33" s="461">
        <v>46</v>
      </c>
      <c r="G33" s="462">
        <v>-0.22354455558738007</v>
      </c>
      <c r="H33" s="462">
        <v>-1.2045595495806555E-6</v>
      </c>
      <c r="I33" s="463">
        <v>5.2280420912866824E-7</v>
      </c>
      <c r="J33" s="461">
        <v>-0.95743351873733562</v>
      </c>
      <c r="K33" s="461">
        <v>0.66426503125032088</v>
      </c>
      <c r="L33" s="461">
        <v>0.10346379410117863</v>
      </c>
      <c r="M33" s="462">
        <v>0.45610194913916624</v>
      </c>
      <c r="N33" s="458">
        <f t="shared" si="1"/>
        <v>0.22262280791629285</v>
      </c>
      <c r="O33" s="440">
        <f t="shared" si="2"/>
        <v>4.9560914604534621E-2</v>
      </c>
      <c r="P33" s="465">
        <f t="shared" si="3"/>
        <v>-0.95743351873733562</v>
      </c>
      <c r="Q33" s="440">
        <f t="shared" si="4"/>
        <v>-1.8124763989155421</v>
      </c>
      <c r="R33" s="440">
        <f t="shared" si="5"/>
        <v>-0.10239063855912911</v>
      </c>
      <c r="S33" s="466">
        <f t="shared" si="6"/>
        <v>58317.921464226587</v>
      </c>
      <c r="T33" s="440">
        <f t="shared" si="7"/>
        <v>3400979963.9077001</v>
      </c>
      <c r="U33" s="466">
        <f t="shared" si="8"/>
        <v>233880.48592357253</v>
      </c>
      <c r="V33" s="467">
        <f t="shared" si="9"/>
        <v>99461.174381126315</v>
      </c>
      <c r="W33" s="467">
        <f t="shared" si="10"/>
        <v>549964.16477288515</v>
      </c>
      <c r="X33" s="468">
        <f t="shared" si="11"/>
        <v>-0.19958329679336123</v>
      </c>
      <c r="Y33" s="468">
        <f t="shared" si="12"/>
        <v>0.19958329679336123</v>
      </c>
      <c r="Z33" s="441">
        <f t="shared" si="13"/>
        <v>609259.17976030742</v>
      </c>
      <c r="AA33" s="471">
        <f t="shared" si="14"/>
        <v>-0.95204506747610851</v>
      </c>
      <c r="AB33" s="441">
        <f t="shared" si="18"/>
        <v>-0.73481071082104277</v>
      </c>
      <c r="AC33" s="802">
        <f t="shared" si="15"/>
        <v>86</v>
      </c>
      <c r="AD33" s="435">
        <f t="shared" si="16"/>
        <v>-1.8070879476543151</v>
      </c>
      <c r="AE33" s="441">
        <f t="shared" si="17"/>
        <v>-9.7002187297901998E-2</v>
      </c>
    </row>
    <row r="34" spans="1:35">
      <c r="A34" s="455">
        <v>1983</v>
      </c>
      <c r="B34" s="479">
        <f t="shared" si="0"/>
        <v>1987</v>
      </c>
      <c r="C34" s="515">
        <f>VLOOKUP($A34,'Brd Tbl'!$A$8:$AX$64,2)</f>
        <v>689904.86811018642</v>
      </c>
      <c r="D34" s="458">
        <f>VLOOKUP($A34,'Brd Tbl'!$A$8:$AX$64,19)</f>
        <v>-1.8013271652593794</v>
      </c>
      <c r="E34" s="461">
        <v>48</v>
      </c>
      <c r="F34" s="461">
        <v>46</v>
      </c>
      <c r="G34" s="462">
        <v>-0.2494807425994412</v>
      </c>
      <c r="H34" s="462">
        <v>-1.1171077988696983E-6</v>
      </c>
      <c r="I34" s="463">
        <v>5.1895734132147598E-7</v>
      </c>
      <c r="J34" s="461">
        <v>-1.0201788512435011</v>
      </c>
      <c r="K34" s="461">
        <v>0.65537177420828374</v>
      </c>
      <c r="L34" s="461">
        <v>9.151394574147162E-2</v>
      </c>
      <c r="M34" s="462">
        <v>0.4444221205165555</v>
      </c>
      <c r="N34" s="458">
        <f t="shared" si="1"/>
        <v>-0.78114831401587836</v>
      </c>
      <c r="O34" s="440">
        <f t="shared" si="2"/>
        <v>0.61019268848984931</v>
      </c>
      <c r="P34" s="465">
        <f t="shared" si="3"/>
        <v>-1.0201788512435011</v>
      </c>
      <c r="Q34" s="440">
        <f t="shared" si="4"/>
        <v>-1.8752217314217074</v>
      </c>
      <c r="R34" s="440">
        <f t="shared" si="5"/>
        <v>-0.16513597106529454</v>
      </c>
      <c r="S34" s="466">
        <f t="shared" si="6"/>
        <v>-134842.45721987903</v>
      </c>
      <c r="T34" s="440">
        <f t="shared" si="7"/>
        <v>18182488269.094906</v>
      </c>
      <c r="U34" s="466">
        <f t="shared" si="8"/>
        <v>248731.71468641504</v>
      </c>
      <c r="V34" s="467">
        <f t="shared" si="9"/>
        <v>105776.88151642692</v>
      </c>
      <c r="W34" s="467">
        <f t="shared" si="10"/>
        <v>584886.4610480722</v>
      </c>
      <c r="X34" s="468">
        <f t="shared" si="11"/>
        <v>1.1839787194986293</v>
      </c>
      <c r="Y34" s="468">
        <f t="shared" si="12"/>
        <v>1.1839787194986293</v>
      </c>
      <c r="Z34" s="441">
        <f t="shared" si="13"/>
        <v>689904.86811018642</v>
      </c>
      <c r="AA34" s="471">
        <f t="shared" si="14"/>
        <v>-1.0483186772400575</v>
      </c>
      <c r="AB34" s="441">
        <f t="shared" si="18"/>
        <v>-1.8013271652593794</v>
      </c>
      <c r="AC34" s="802">
        <f t="shared" si="15"/>
        <v>87</v>
      </c>
      <c r="AD34" s="435">
        <f t="shared" si="16"/>
        <v>-1.9033615574182638</v>
      </c>
      <c r="AE34" s="441">
        <f t="shared" si="17"/>
        <v>-0.19327579706185094</v>
      </c>
    </row>
    <row r="35" spans="1:35">
      <c r="A35" s="455">
        <v>1984</v>
      </c>
      <c r="B35" s="479">
        <f t="shared" si="0"/>
        <v>1988</v>
      </c>
      <c r="C35" s="515">
        <f>VLOOKUP($A35,'Brd Tbl'!$A$8:$AX$64,2)</f>
        <v>837471.73615241167</v>
      </c>
      <c r="D35" s="458">
        <f>VLOOKUP($A35,'Brd Tbl'!$A$8:$AX$64,19)</f>
        <v>-1.0449140241751833</v>
      </c>
      <c r="E35" s="461">
        <v>48</v>
      </c>
      <c r="F35" s="461">
        <v>46</v>
      </c>
      <c r="G35" s="462">
        <v>-0.20912670178680348</v>
      </c>
      <c r="H35" s="462">
        <v>-1.2306531561035469E-6</v>
      </c>
      <c r="I35" s="463">
        <v>5.381426887643812E-7</v>
      </c>
      <c r="J35" s="461">
        <v>-1.2397639370302858</v>
      </c>
      <c r="K35" s="461">
        <v>0.66448381437552195</v>
      </c>
      <c r="L35" s="461">
        <v>0.10208329312114717</v>
      </c>
      <c r="M35" s="462">
        <v>0.45634349968218485</v>
      </c>
      <c r="N35" s="458">
        <f t="shared" si="1"/>
        <v>0.19484991285510245</v>
      </c>
      <c r="O35" s="440">
        <f t="shared" si="2"/>
        <v>3.7966488539641019E-2</v>
      </c>
      <c r="P35" s="465">
        <f t="shared" si="3"/>
        <v>-1.2397639370302858</v>
      </c>
      <c r="Q35" s="440">
        <f t="shared" si="4"/>
        <v>-2.0948068172084922</v>
      </c>
      <c r="R35" s="440">
        <f t="shared" si="5"/>
        <v>-0.38472105685207925</v>
      </c>
      <c r="S35" s="466">
        <f t="shared" si="6"/>
        <v>52148.961994984013</v>
      </c>
      <c r="T35" s="440">
        <f t="shared" si="7"/>
        <v>2719514237.1542869</v>
      </c>
      <c r="U35" s="466">
        <f t="shared" si="8"/>
        <v>242408.32028683665</v>
      </c>
      <c r="V35" s="467">
        <f t="shared" si="9"/>
        <v>103087.76348003534</v>
      </c>
      <c r="W35" s="467">
        <f t="shared" si="10"/>
        <v>570017.15587384708</v>
      </c>
      <c r="X35" s="468">
        <f t="shared" si="11"/>
        <v>-0.17704183577131855</v>
      </c>
      <c r="Y35" s="468">
        <f t="shared" si="12"/>
        <v>0.17704183577131855</v>
      </c>
      <c r="Z35" s="441">
        <f t="shared" si="13"/>
        <v>837471.73615241167</v>
      </c>
      <c r="AA35" s="471">
        <f t="shared" si="14"/>
        <v>-1.224481784762304</v>
      </c>
      <c r="AB35" s="441">
        <f t="shared" si="18"/>
        <v>-1.0449140241751833</v>
      </c>
      <c r="AC35" s="802">
        <f t="shared" si="15"/>
        <v>88</v>
      </c>
      <c r="AD35" s="435">
        <f t="shared" si="16"/>
        <v>-2.0795246649405104</v>
      </c>
      <c r="AE35" s="441">
        <f t="shared" si="17"/>
        <v>-0.36943890458409745</v>
      </c>
    </row>
    <row r="36" spans="1:35">
      <c r="A36" s="455">
        <v>1985</v>
      </c>
      <c r="B36" s="479">
        <f t="shared" si="0"/>
        <v>1989</v>
      </c>
      <c r="C36" s="515">
        <f>VLOOKUP($A36,'Brd Tbl'!$A$8:$AX$64,2)</f>
        <v>644071.2163551402</v>
      </c>
      <c r="D36" s="458">
        <f>VLOOKUP($A36,'Brd Tbl'!$A$8:$AX$64,19)</f>
        <v>-0.98408522662261033</v>
      </c>
      <c r="E36" s="461">
        <v>48</v>
      </c>
      <c r="F36" s="461">
        <v>46</v>
      </c>
      <c r="G36" s="462">
        <v>-0.2245571876536937</v>
      </c>
      <c r="H36" s="462">
        <v>-1.1944694445362975E-6</v>
      </c>
      <c r="I36" s="463">
        <v>5.2453329468425617E-7</v>
      </c>
      <c r="J36" s="461">
        <v>-0.99388057569523547</v>
      </c>
      <c r="K36" s="461">
        <v>0.66505438730150546</v>
      </c>
      <c r="L36" s="461">
        <v>0.10131078218459552</v>
      </c>
      <c r="M36" s="462">
        <v>0.4571324692587721</v>
      </c>
      <c r="N36" s="458">
        <f t="shared" si="1"/>
        <v>9.7953490726251369E-3</v>
      </c>
      <c r="O36" s="440">
        <f t="shared" si="2"/>
        <v>9.5948863454578125E-5</v>
      </c>
      <c r="P36" s="465">
        <f t="shared" si="3"/>
        <v>-0.99388057569523547</v>
      </c>
      <c r="Q36" s="440">
        <f t="shared" si="4"/>
        <v>-1.848923455873442</v>
      </c>
      <c r="R36" s="440">
        <f t="shared" si="5"/>
        <v>-0.13883769551702896</v>
      </c>
      <c r="S36" s="466">
        <f t="shared" si="6"/>
        <v>2346.6359940931434</v>
      </c>
      <c r="T36" s="440">
        <f t="shared" si="7"/>
        <v>5506700.4887735154</v>
      </c>
      <c r="U36" s="466">
        <f t="shared" si="8"/>
        <v>238394.94442551018</v>
      </c>
      <c r="V36" s="467">
        <f t="shared" si="9"/>
        <v>101381.01537394991</v>
      </c>
      <c r="W36" s="467">
        <f t="shared" si="10"/>
        <v>560579.80202716775</v>
      </c>
      <c r="X36" s="468">
        <f t="shared" si="11"/>
        <v>-9.7475309001587799E-3</v>
      </c>
      <c r="Y36" s="468">
        <f t="shared" si="12"/>
        <v>9.7475309001587799E-3</v>
      </c>
      <c r="Z36" s="441">
        <f t="shared" si="13"/>
        <v>644071.2163551402</v>
      </c>
      <c r="AA36" s="471">
        <f t="shared" si="14"/>
        <v>-0.99360315315675807</v>
      </c>
      <c r="AB36" s="441">
        <f t="shared" si="18"/>
        <v>-0.98408522662261033</v>
      </c>
      <c r="AC36" s="802">
        <f t="shared" si="15"/>
        <v>89</v>
      </c>
      <c r="AD36" s="435">
        <f t="shared" si="16"/>
        <v>-1.8486460333349646</v>
      </c>
      <c r="AE36" s="441">
        <f t="shared" si="17"/>
        <v>-0.13856027297855156</v>
      </c>
    </row>
    <row r="37" spans="1:35">
      <c r="A37" s="455">
        <v>1986</v>
      </c>
      <c r="B37" s="479">
        <f t="shared" si="0"/>
        <v>1990</v>
      </c>
      <c r="C37" s="515">
        <f>VLOOKUP($A37,'Brd Tbl'!$A$8:$AX$64,2)</f>
        <v>512181.00557456672</v>
      </c>
      <c r="D37" s="458">
        <f>VLOOKUP($A37,'Brd Tbl'!$A$8:$AX$64,19)</f>
        <v>-0.59082223514462939</v>
      </c>
      <c r="E37" s="461">
        <v>48</v>
      </c>
      <c r="F37" s="461">
        <v>46</v>
      </c>
      <c r="G37" s="462">
        <v>-0.23136226904192359</v>
      </c>
      <c r="H37" s="462">
        <v>-1.1909036982565646E-6</v>
      </c>
      <c r="I37" s="463">
        <v>5.2167897039942058E-7</v>
      </c>
      <c r="J37" s="461">
        <v>-0.84132052275744118</v>
      </c>
      <c r="K37" s="461">
        <v>0.66405073543189819</v>
      </c>
      <c r="L37" s="461">
        <v>0.10176086054148149</v>
      </c>
      <c r="M37" s="462">
        <v>0.45582718919140758</v>
      </c>
      <c r="N37" s="458">
        <f t="shared" si="1"/>
        <v>0.25049828761281179</v>
      </c>
      <c r="O37" s="440">
        <f t="shared" si="2"/>
        <v>6.2749392096950976E-2</v>
      </c>
      <c r="P37" s="465">
        <f t="shared" si="3"/>
        <v>-0.84132052275744118</v>
      </c>
      <c r="Q37" s="440">
        <f t="shared" si="4"/>
        <v>-1.6963634029356478</v>
      </c>
      <c r="R37" s="440">
        <f t="shared" si="5"/>
        <v>1.372235742076533E-2</v>
      </c>
      <c r="S37" s="466">
        <f t="shared" si="6"/>
        <v>62860.419691219518</v>
      </c>
      <c r="T37" s="440">
        <f t="shared" si="7"/>
        <v>3951432363.7562585</v>
      </c>
      <c r="U37" s="466">
        <f t="shared" si="8"/>
        <v>220822.13673269859</v>
      </c>
      <c r="V37" s="467">
        <f t="shared" si="9"/>
        <v>93907.916096775152</v>
      </c>
      <c r="W37" s="467">
        <f t="shared" si="10"/>
        <v>519257.78036585735</v>
      </c>
      <c r="X37" s="468">
        <f t="shared" si="11"/>
        <v>-0.22158718704326921</v>
      </c>
      <c r="Y37" s="468">
        <f t="shared" si="12"/>
        <v>0.22158718704326921</v>
      </c>
      <c r="Z37" s="441">
        <f t="shared" si="13"/>
        <v>512181.00557456672</v>
      </c>
      <c r="AA37" s="471">
        <f t="shared" si="14"/>
        <v>-0.83615460328158131</v>
      </c>
      <c r="AB37" s="441">
        <f t="shared" si="18"/>
        <v>-0.59082223514462939</v>
      </c>
      <c r="AC37" s="802">
        <f t="shared" si="15"/>
        <v>90</v>
      </c>
      <c r="AD37" s="435">
        <f t="shared" si="16"/>
        <v>-1.6911974834597878</v>
      </c>
      <c r="AE37" s="441">
        <f t="shared" si="17"/>
        <v>1.88882768966252E-2</v>
      </c>
    </row>
    <row r="38" spans="1:35">
      <c r="A38" s="455">
        <v>1987</v>
      </c>
      <c r="B38" s="479">
        <f t="shared" si="0"/>
        <v>1991</v>
      </c>
      <c r="C38" s="515">
        <f>VLOOKUP($A38,'Brd Tbl'!$A$8:$AX$64,2)</f>
        <v>505998.99389258347</v>
      </c>
      <c r="D38" s="458">
        <f>VLOOKUP($A38,'Brd Tbl'!$A$8:$AX$64,19)</f>
        <v>-0.78899837048709731</v>
      </c>
      <c r="E38" s="461">
        <v>48</v>
      </c>
      <c r="F38" s="461">
        <v>46</v>
      </c>
      <c r="G38" s="462">
        <v>-0.22587987843772328</v>
      </c>
      <c r="H38" s="462">
        <v>-1.1931627871989992E-6</v>
      </c>
      <c r="I38" s="463">
        <v>5.2249211827816421E-7</v>
      </c>
      <c r="J38" s="461">
        <v>-0.82961904831048761</v>
      </c>
      <c r="K38" s="461">
        <v>0.66502950318251619</v>
      </c>
      <c r="L38" s="461">
        <v>0.10182260460417056</v>
      </c>
      <c r="M38" s="462">
        <v>0.45710009237120169</v>
      </c>
      <c r="N38" s="458">
        <f t="shared" si="1"/>
        <v>4.0620677823390294E-2</v>
      </c>
      <c r="O38" s="440">
        <f t="shared" si="2"/>
        <v>1.6500394668316721E-3</v>
      </c>
      <c r="P38" s="465">
        <f t="shared" si="3"/>
        <v>-0.82961904831048761</v>
      </c>
      <c r="Q38" s="440">
        <f t="shared" si="4"/>
        <v>-1.6846619284886941</v>
      </c>
      <c r="R38" s="440">
        <f t="shared" si="5"/>
        <v>2.5423831867718905E-2</v>
      </c>
      <c r="S38" s="466">
        <f t="shared" si="6"/>
        <v>9150.5747012913926</v>
      </c>
      <c r="T38" s="440">
        <f t="shared" si="7"/>
        <v>83733017.363914058</v>
      </c>
      <c r="U38" s="466">
        <f t="shared" si="8"/>
        <v>220724.56954975941</v>
      </c>
      <c r="V38" s="467">
        <f t="shared" si="9"/>
        <v>93866.424193088242</v>
      </c>
      <c r="W38" s="467">
        <f t="shared" si="10"/>
        <v>519028.35355385765</v>
      </c>
      <c r="X38" s="468">
        <f t="shared" si="11"/>
        <v>-3.9806716516066147E-2</v>
      </c>
      <c r="Y38" s="468">
        <f t="shared" si="12"/>
        <v>3.9806716516066147E-2</v>
      </c>
      <c r="Z38" s="441">
        <f t="shared" si="13"/>
        <v>505998.99389258347</v>
      </c>
      <c r="AA38" s="471">
        <f t="shared" si="14"/>
        <v>-0.82877461071898673</v>
      </c>
      <c r="AB38" s="441">
        <f t="shared" si="18"/>
        <v>-0.78899837048709731</v>
      </c>
      <c r="AC38" s="802">
        <f t="shared" si="15"/>
        <v>91</v>
      </c>
      <c r="AD38" s="435">
        <f t="shared" si="16"/>
        <v>-1.6838174908971932</v>
      </c>
      <c r="AE38" s="441">
        <f t="shared" si="17"/>
        <v>2.6268269459219784E-2</v>
      </c>
    </row>
    <row r="39" spans="1:35">
      <c r="A39" s="455">
        <v>1988</v>
      </c>
      <c r="B39" s="479">
        <f t="shared" si="0"/>
        <v>1992</v>
      </c>
      <c r="C39" s="515">
        <f>VLOOKUP($A39,'Brd Tbl'!$A$8:$AX$64,2)</f>
        <v>495779.97595582763</v>
      </c>
      <c r="D39" s="458">
        <f>VLOOKUP($A39,'Brd Tbl'!$A$8:$AX$64,19)</f>
        <v>-0.73404078342823154</v>
      </c>
      <c r="E39" s="461">
        <v>48</v>
      </c>
      <c r="F39" s="461">
        <v>46</v>
      </c>
      <c r="G39" s="462">
        <v>-0.22740919555465899</v>
      </c>
      <c r="H39" s="462">
        <v>-1.1919617999288894E-6</v>
      </c>
      <c r="I39" s="463">
        <v>5.2252422001859E-7</v>
      </c>
      <c r="J39" s="461">
        <v>-0.81835998806366883</v>
      </c>
      <c r="K39" s="461">
        <v>0.66494216057268718</v>
      </c>
      <c r="L39" s="461">
        <v>0.10162733156122487</v>
      </c>
      <c r="M39" s="462">
        <v>0.45698634885446165</v>
      </c>
      <c r="N39" s="458">
        <f t="shared" si="1"/>
        <v>8.4319204635437295E-2</v>
      </c>
      <c r="O39" s="440">
        <f t="shared" si="2"/>
        <v>7.1097282703527498E-3</v>
      </c>
      <c r="P39" s="465">
        <f t="shared" si="3"/>
        <v>-0.81835998806366883</v>
      </c>
      <c r="Q39" s="440">
        <f t="shared" si="4"/>
        <v>-1.6734028682418753</v>
      </c>
      <c r="R39" s="440">
        <f t="shared" si="5"/>
        <v>3.668289211453768E-2</v>
      </c>
      <c r="S39" s="466">
        <f t="shared" si="6"/>
        <v>19241.7508169754</v>
      </c>
      <c r="T39" s="440">
        <f t="shared" si="7"/>
        <v>370244974.50257349</v>
      </c>
      <c r="U39" s="466">
        <f t="shared" si="8"/>
        <v>218715.59729911329</v>
      </c>
      <c r="V39" s="467">
        <f t="shared" si="9"/>
        <v>93012.078698810219</v>
      </c>
      <c r="W39" s="467">
        <f t="shared" si="10"/>
        <v>514304.30510870623</v>
      </c>
      <c r="X39" s="468">
        <f t="shared" si="11"/>
        <v>-8.0862183787609773E-2</v>
      </c>
      <c r="Y39" s="468">
        <f t="shared" si="12"/>
        <v>8.0862183787609773E-2</v>
      </c>
      <c r="Z39" s="441">
        <f t="shared" si="13"/>
        <v>495779.97595582763</v>
      </c>
      <c r="AA39" s="471">
        <f t="shared" si="14"/>
        <v>-0.8165753008098724</v>
      </c>
      <c r="AB39" s="441">
        <f t="shared" si="18"/>
        <v>-0.73404078342823154</v>
      </c>
      <c r="AC39" s="802">
        <f t="shared" si="15"/>
        <v>92</v>
      </c>
      <c r="AD39" s="435">
        <f t="shared" si="16"/>
        <v>-1.6716181809880788</v>
      </c>
      <c r="AE39" s="441">
        <f t="shared" si="17"/>
        <v>3.8467579368334115E-2</v>
      </c>
    </row>
    <row r="40" spans="1:35">
      <c r="A40" s="455">
        <v>1989</v>
      </c>
      <c r="B40" s="479">
        <f t="shared" si="0"/>
        <v>1993</v>
      </c>
      <c r="C40" s="515">
        <f>VLOOKUP($A40,'Brd Tbl'!$A$8:$AX$64,2)</f>
        <v>581067.37842492911</v>
      </c>
      <c r="D40" s="458">
        <f>VLOOKUP($A40,'Brd Tbl'!$A$8:$AX$64,19)</f>
        <v>-0.84375077772585116</v>
      </c>
      <c r="E40" s="461">
        <v>48</v>
      </c>
      <c r="F40" s="461">
        <v>46</v>
      </c>
      <c r="G40" s="462">
        <v>-0.22502214799315423</v>
      </c>
      <c r="H40" s="462">
        <v>-1.1961509829503707E-6</v>
      </c>
      <c r="I40" s="463">
        <v>5.2275413340663125E-7</v>
      </c>
      <c r="J40" s="461">
        <v>-0.92006646385652824</v>
      </c>
      <c r="K40" s="461">
        <v>0.66496280755815451</v>
      </c>
      <c r="L40" s="461">
        <v>0.10218899856584239</v>
      </c>
      <c r="M40" s="462">
        <v>0.45701313311114417</v>
      </c>
      <c r="N40" s="458">
        <f t="shared" si="1"/>
        <v>7.6315686130677074E-2</v>
      </c>
      <c r="O40" s="440">
        <f t="shared" si="2"/>
        <v>5.8240839495960171E-3</v>
      </c>
      <c r="P40" s="465">
        <f t="shared" si="3"/>
        <v>-0.92006646385652824</v>
      </c>
      <c r="Q40" s="440">
        <f t="shared" si="4"/>
        <v>-1.7751093440347347</v>
      </c>
      <c r="R40" s="440">
        <f t="shared" si="5"/>
        <v>-6.5023583678321728E-2</v>
      </c>
      <c r="S40" s="466">
        <f t="shared" si="6"/>
        <v>18362.746776954475</v>
      </c>
      <c r="T40" s="440">
        <f t="shared" si="7"/>
        <v>337190469.19455194</v>
      </c>
      <c r="U40" s="466">
        <f t="shared" si="8"/>
        <v>231551.02416990267</v>
      </c>
      <c r="V40" s="467">
        <f t="shared" si="9"/>
        <v>98470.535932685452</v>
      </c>
      <c r="W40" s="467">
        <f t="shared" si="10"/>
        <v>544486.4932062797</v>
      </c>
      <c r="X40" s="468">
        <f t="shared" si="11"/>
        <v>-7.3476330285373578E-2</v>
      </c>
      <c r="Y40" s="468">
        <f t="shared" si="12"/>
        <v>7.3476330285373578E-2</v>
      </c>
      <c r="Z40" s="441">
        <f t="shared" si="13"/>
        <v>581067.37842492911</v>
      </c>
      <c r="AA40" s="471">
        <f t="shared" si="14"/>
        <v>-0.91839011907353774</v>
      </c>
      <c r="AB40" s="441">
        <f t="shared" si="18"/>
        <v>-0.84375077772585116</v>
      </c>
      <c r="AC40" s="802">
        <f t="shared" si="15"/>
        <v>93</v>
      </c>
      <c r="AD40" s="435">
        <f t="shared" si="16"/>
        <v>-1.7734329992517441</v>
      </c>
      <c r="AE40" s="441">
        <f t="shared" si="17"/>
        <v>-6.3347238895331226E-2</v>
      </c>
    </row>
    <row r="41" spans="1:35" ht="18">
      <c r="A41" s="455">
        <v>1990</v>
      </c>
      <c r="B41" s="479">
        <f t="shared" si="0"/>
        <v>1994</v>
      </c>
      <c r="C41" s="515">
        <f>VLOOKUP($A41,'Brd Tbl'!$A$8:$AX$64,2)</f>
        <v>619668.01983819774</v>
      </c>
      <c r="D41" s="458">
        <f>VLOOKUP($A41,'Brd Tbl'!$A$8:$AX$64,19)</f>
        <v>-1.0785027977153256</v>
      </c>
      <c r="E41" s="461">
        <v>48</v>
      </c>
      <c r="F41" s="461">
        <v>46</v>
      </c>
      <c r="G41" s="462">
        <v>-0.2257374969266619</v>
      </c>
      <c r="H41" s="462">
        <v>-1.1873714939962684E-6</v>
      </c>
      <c r="I41" s="463">
        <v>5.2354333558924367E-7</v>
      </c>
      <c r="J41" s="461">
        <v>-0.96151363942365198</v>
      </c>
      <c r="K41" s="461">
        <v>0.66483784058685058</v>
      </c>
      <c r="L41" s="461">
        <v>0.10057188552696035</v>
      </c>
      <c r="M41" s="462">
        <v>0.45684933354430662</v>
      </c>
      <c r="N41" s="458">
        <f t="shared" si="1"/>
        <v>-0.11698915829167367</v>
      </c>
      <c r="O41" s="440">
        <f t="shared" si="2"/>
        <v>1.3686463157794277E-2</v>
      </c>
      <c r="P41" s="465">
        <f t="shared" si="3"/>
        <v>-0.96151363942365198</v>
      </c>
      <c r="Q41" s="440">
        <f t="shared" ref="Q41:Q61" si="19">$P41-(SQRT($O$65)*$Q$65)</f>
        <v>-1.8165565196018585</v>
      </c>
      <c r="R41" s="440">
        <f t="shared" si="5"/>
        <v>-0.10647075924544547</v>
      </c>
      <c r="S41" s="466">
        <f t="shared" si="6"/>
        <v>-26155.823345861427</v>
      </c>
      <c r="T41" s="440">
        <f t="shared" si="7"/>
        <v>684127094.89990962</v>
      </c>
      <c r="U41" s="466">
        <f t="shared" si="8"/>
        <v>236907.61223368449</v>
      </c>
      <c r="V41" s="467">
        <f t="shared" si="9"/>
        <v>100748.50511594499</v>
      </c>
      <c r="W41" s="467">
        <f t="shared" si="10"/>
        <v>557082.37724892213</v>
      </c>
      <c r="X41" s="468">
        <f t="shared" si="11"/>
        <v>0.12410724238162171</v>
      </c>
      <c r="Y41" s="468">
        <f t="shared" si="12"/>
        <v>0.12410724238162171</v>
      </c>
      <c r="Z41" s="441">
        <f t="shared" si="13"/>
        <v>619668.01983819774</v>
      </c>
      <c r="AA41" s="471">
        <f t="shared" si="14"/>
        <v>-0.9644709842022029</v>
      </c>
      <c r="AB41" s="441">
        <f t="shared" si="18"/>
        <v>-1.0785027977153256</v>
      </c>
      <c r="AC41" s="802">
        <f t="shared" si="15"/>
        <v>94</v>
      </c>
      <c r="AD41" s="435">
        <f t="shared" si="16"/>
        <v>-1.8195138643804094</v>
      </c>
      <c r="AE41" s="441">
        <f t="shared" si="17"/>
        <v>-0.10942810402399639</v>
      </c>
      <c r="AH41" s="54" t="s">
        <v>584</v>
      </c>
      <c r="AI41" s="436">
        <f>ROUND(L63,4)</f>
        <v>0.1019</v>
      </c>
    </row>
    <row r="42" spans="1:35">
      <c r="A42" s="455">
        <v>1991</v>
      </c>
      <c r="B42" s="479">
        <f t="shared" si="0"/>
        <v>1995</v>
      </c>
      <c r="C42" s="515">
        <f>VLOOKUP($A42,'Brd Tbl'!$A$8:$AX$64,2)</f>
        <v>567389.92208594619</v>
      </c>
      <c r="D42" s="458">
        <f>VLOOKUP($A42,'Brd Tbl'!$A$8:$AX$64,19)</f>
        <v>-0.24580585833532928</v>
      </c>
      <c r="E42" s="461">
        <v>48</v>
      </c>
      <c r="F42" s="461">
        <v>46</v>
      </c>
      <c r="G42" s="462">
        <v>-0.23037346727821639</v>
      </c>
      <c r="H42" s="462">
        <v>-1.2089137360987327E-6</v>
      </c>
      <c r="I42" s="463">
        <v>5.1694927427191229E-7</v>
      </c>
      <c r="J42" s="461">
        <v>-0.91629893781190652</v>
      </c>
      <c r="K42" s="461">
        <v>0.65782506367373417</v>
      </c>
      <c r="L42" s="461">
        <v>0.10625525854074187</v>
      </c>
      <c r="M42" s="462">
        <v>0.44776861465955259</v>
      </c>
      <c r="N42" s="458">
        <f t="shared" si="1"/>
        <v>0.67049307947657721</v>
      </c>
      <c r="O42" s="440">
        <f t="shared" si="2"/>
        <v>0.44956096962598369</v>
      </c>
      <c r="P42" s="465">
        <f t="shared" si="3"/>
        <v>-0.91629893781190652</v>
      </c>
      <c r="Q42" s="440">
        <f t="shared" si="19"/>
        <v>-1.771341817990113</v>
      </c>
      <c r="R42" s="440">
        <f t="shared" si="5"/>
        <v>-6.1256057633700012E-2</v>
      </c>
      <c r="S42" s="466">
        <f t="shared" si="6"/>
        <v>216786.82406322702</v>
      </c>
      <c r="T42" s="440">
        <f t="shared" si="7"/>
        <v>46996527087.420547</v>
      </c>
      <c r="U42" s="466">
        <f t="shared" si="8"/>
        <v>226954.1064554672</v>
      </c>
      <c r="V42" s="467">
        <f t="shared" si="9"/>
        <v>96515.627926548652</v>
      </c>
      <c r="W42" s="467">
        <f t="shared" si="10"/>
        <v>533676.95515796496</v>
      </c>
      <c r="X42" s="468">
        <f t="shared" si="11"/>
        <v>-0.48854367301619489</v>
      </c>
      <c r="Y42" s="468">
        <f t="shared" si="12"/>
        <v>0.48854367301619489</v>
      </c>
      <c r="Z42" s="441">
        <f t="shared" si="13"/>
        <v>567389.92208594619</v>
      </c>
      <c r="AA42" s="471">
        <f t="shared" si="14"/>
        <v>-0.90206217741805961</v>
      </c>
      <c r="AB42" s="441">
        <f t="shared" si="18"/>
        <v>-0.24580585833532928</v>
      </c>
      <c r="AC42" s="802">
        <f t="shared" si="15"/>
        <v>95</v>
      </c>
      <c r="AD42" s="435">
        <f t="shared" si="16"/>
        <v>-1.7571050575962661</v>
      </c>
      <c r="AE42" s="441">
        <f t="shared" si="17"/>
        <v>-4.7019297239853097E-2</v>
      </c>
      <c r="AH42" s="54" t="s">
        <v>181</v>
      </c>
      <c r="AI42" s="436">
        <f>ROUND(H63,5)</f>
        <v>0</v>
      </c>
    </row>
    <row r="43" spans="1:35">
      <c r="A43" s="455">
        <v>1992</v>
      </c>
      <c r="B43" s="479">
        <f t="shared" si="0"/>
        <v>1996</v>
      </c>
      <c r="C43" s="515">
        <f>VLOOKUP($A43,'Brd Tbl'!$A$8:$AX$64,2)</f>
        <v>558331.04056437232</v>
      </c>
      <c r="D43" s="458">
        <f>VLOOKUP($A43,'Brd Tbl'!$A$8:$AX$64,19)</f>
        <v>-9.9552322494724579E-2</v>
      </c>
      <c r="E43" s="461">
        <v>48</v>
      </c>
      <c r="F43" s="461">
        <v>46</v>
      </c>
      <c r="G43" s="462">
        <v>-0.23393673905243051</v>
      </c>
      <c r="H43" s="462">
        <v>-1.2075097210471519E-6</v>
      </c>
      <c r="I43" s="463">
        <v>5.1424996068660899E-7</v>
      </c>
      <c r="J43" s="461">
        <v>-0.90812689809628178</v>
      </c>
      <c r="K43" s="461">
        <v>0.65450987189797705</v>
      </c>
      <c r="L43" s="461">
        <v>0.10703137514760523</v>
      </c>
      <c r="M43" s="462">
        <v>0.44351378393698487</v>
      </c>
      <c r="N43" s="458">
        <f t="shared" si="1"/>
        <v>0.80857457560155721</v>
      </c>
      <c r="O43" s="440">
        <f t="shared" si="2"/>
        <v>0.65379284430923834</v>
      </c>
      <c r="P43" s="465">
        <f t="shared" si="3"/>
        <v>-0.90812689809628178</v>
      </c>
      <c r="Q43" s="440">
        <f t="shared" si="19"/>
        <v>-1.7631697782744884</v>
      </c>
      <c r="R43" s="440">
        <f t="shared" si="5"/>
        <v>-5.3084017918075266E-2</v>
      </c>
      <c r="S43" s="466">
        <f t="shared" si="6"/>
        <v>280261.90633914445</v>
      </c>
      <c r="T43" s="440">
        <f t="shared" si="7"/>
        <v>78546736144.851379</v>
      </c>
      <c r="U43" s="466">
        <f t="shared" si="8"/>
        <v>225163.12759288764</v>
      </c>
      <c r="V43" s="467">
        <f t="shared" si="9"/>
        <v>95753.987380692488</v>
      </c>
      <c r="W43" s="467">
        <f t="shared" si="10"/>
        <v>529465.51276081544</v>
      </c>
      <c r="X43" s="468">
        <f t="shared" si="11"/>
        <v>-0.55450737008177786</v>
      </c>
      <c r="Y43" s="468">
        <f t="shared" si="12"/>
        <v>0.55450737008177786</v>
      </c>
      <c r="Z43" s="441">
        <f t="shared" si="13"/>
        <v>558331.04056437232</v>
      </c>
      <c r="AA43" s="471">
        <f t="shared" si="14"/>
        <v>-0.89124782091183041</v>
      </c>
      <c r="AB43" s="441">
        <f t="shared" si="18"/>
        <v>-9.9552322494724579E-2</v>
      </c>
      <c r="AC43" s="802">
        <f t="shared" si="15"/>
        <v>96</v>
      </c>
      <c r="AD43" s="435">
        <f t="shared" si="16"/>
        <v>-1.7462907010900368</v>
      </c>
      <c r="AE43" s="441">
        <f t="shared" si="17"/>
        <v>-3.6204940733623903E-2</v>
      </c>
      <c r="AH43" s="54" t="s">
        <v>182</v>
      </c>
      <c r="AI43" s="510">
        <f t="shared" ref="AI43" si="20">X66</f>
        <v>0.29786634207251256</v>
      </c>
    </row>
    <row r="44" spans="1:35">
      <c r="A44" s="455">
        <v>1993</v>
      </c>
      <c r="B44" s="479">
        <f t="shared" si="0"/>
        <v>1997</v>
      </c>
      <c r="C44" s="515">
        <f>VLOOKUP($A44,'Brd Tbl'!$A$8:$AX$64,2)</f>
        <v>652721.10807092034</v>
      </c>
      <c r="D44" s="458">
        <f>VLOOKUP($A44,'Brd Tbl'!$A$8:$AX$64,19)</f>
        <v>-0.96992783964425766</v>
      </c>
      <c r="E44" s="461">
        <v>48</v>
      </c>
      <c r="F44" s="461">
        <v>46</v>
      </c>
      <c r="G44" s="462">
        <v>-0.22403675293150072</v>
      </c>
      <c r="H44" s="462">
        <v>-1.1964203535529617E-6</v>
      </c>
      <c r="I44" s="463">
        <v>5.2485821108945777E-7</v>
      </c>
      <c r="J44" s="461">
        <v>-1.0049655718211921</v>
      </c>
      <c r="K44" s="461">
        <v>0.66503643982856631</v>
      </c>
      <c r="L44" s="461">
        <v>0.10149533853451476</v>
      </c>
      <c r="M44" s="462">
        <v>0.45710889230434182</v>
      </c>
      <c r="N44" s="458">
        <f t="shared" si="1"/>
        <v>3.50377321769344E-2</v>
      </c>
      <c r="O44" s="440">
        <f t="shared" si="2"/>
        <v>1.2276426761025842E-3</v>
      </c>
      <c r="P44" s="465">
        <f t="shared" si="3"/>
        <v>-1.0049655718211921</v>
      </c>
      <c r="Q44" s="440">
        <f t="shared" si="19"/>
        <v>-1.8600084519993985</v>
      </c>
      <c r="R44" s="440">
        <f t="shared" si="5"/>
        <v>-0.14992269164298555</v>
      </c>
      <c r="S44" s="466">
        <f>EXP(D44)*C44-$E$61</f>
        <v>247405.35635972218</v>
      </c>
      <c r="T44" s="440">
        <f t="shared" si="7"/>
        <v>61209410355.481125</v>
      </c>
      <c r="U44" s="466">
        <f t="shared" si="8"/>
        <v>238933.28552896748</v>
      </c>
      <c r="V44" s="467">
        <f t="shared" si="9"/>
        <v>101609.95297922322</v>
      </c>
      <c r="W44" s="467">
        <f t="shared" si="10"/>
        <v>561845.69778651965</v>
      </c>
      <c r="X44" s="468">
        <f t="shared" si="11"/>
        <v>-3.443101744948289E-2</v>
      </c>
      <c r="Y44" s="468">
        <f t="shared" si="12"/>
        <v>3.443101744948289E-2</v>
      </c>
      <c r="Z44" s="441">
        <f t="shared" si="13"/>
        <v>652721.10807092034</v>
      </c>
      <c r="AA44" s="471">
        <f t="shared" si="14"/>
        <v>-1.0039292637844279</v>
      </c>
      <c r="AB44" s="441">
        <f t="shared" si="18"/>
        <v>-0.96992783964425766</v>
      </c>
      <c r="AC44" s="802">
        <f t="shared" si="15"/>
        <v>97</v>
      </c>
      <c r="AD44" s="435">
        <f t="shared" si="16"/>
        <v>-1.8589721439626343</v>
      </c>
      <c r="AE44" s="441">
        <f t="shared" si="17"/>
        <v>-0.14888638360622142</v>
      </c>
      <c r="AH44" s="54"/>
      <c r="AI44" s="510"/>
    </row>
    <row r="45" spans="1:35">
      <c r="A45" s="455">
        <v>1994</v>
      </c>
      <c r="B45" s="479">
        <f t="shared" ref="B45:B61" si="21">A45+$H$4</f>
        <v>1998</v>
      </c>
      <c r="C45" s="515">
        <f>VLOOKUP($A45,'Brd Tbl'!$A$8:$AX$64,2)</f>
        <v>614989.28339619539</v>
      </c>
      <c r="D45" s="458">
        <f>VLOOKUP($A45,'Brd Tbl'!$A$8:$AX$64,19)</f>
        <v>-0.81776316795245418</v>
      </c>
      <c r="E45" s="461">
        <v>48</v>
      </c>
      <c r="F45" s="461">
        <v>46</v>
      </c>
      <c r="G45" s="462">
        <v>-0.22368457144004317</v>
      </c>
      <c r="H45" s="462">
        <v>-1.2013002454537752E-6</v>
      </c>
      <c r="I45" s="463">
        <v>5.2331809617176137E-7</v>
      </c>
      <c r="J45" s="461">
        <v>-0.962471348535334</v>
      </c>
      <c r="K45" s="461">
        <v>0.66472206050548588</v>
      </c>
      <c r="L45" s="461">
        <v>0.10278087630776757</v>
      </c>
      <c r="M45" s="462">
        <v>0.4566982086616021</v>
      </c>
      <c r="N45" s="458">
        <f t="shared" ref="N45:N61" si="22">D45-J45</f>
        <v>0.14470818058287982</v>
      </c>
      <c r="O45" s="440">
        <f t="shared" ref="O45:O61" si="23">N45^2</f>
        <v>2.0940457527607356E-2</v>
      </c>
      <c r="P45" s="465">
        <f t="shared" ref="P45:P61" si="24">J45</f>
        <v>-0.962471348535334</v>
      </c>
      <c r="Q45" s="440">
        <f t="shared" si="19"/>
        <v>-1.8175142287135406</v>
      </c>
      <c r="R45" s="440">
        <f t="shared" ref="R45:R61" si="25">$P45+SQRT($O$65)*$Q$65</f>
        <v>-0.10742846835712749</v>
      </c>
      <c r="S45" s="466">
        <f>EXP(D45)*C45-$E$61</f>
        <v>271419.29571051238</v>
      </c>
      <c r="T45" s="440">
        <f t="shared" ref="T45:T61" si="26">S45^2</f>
        <v>73668434083.99057</v>
      </c>
      <c r="U45" s="466">
        <f t="shared" ref="U45:U61" si="27">EXP(P45)*C45</f>
        <v>234893.79921101258</v>
      </c>
      <c r="V45" s="467">
        <f t="shared" ref="V45:V61" si="28">EXP(Q45)*C45</f>
        <v>99892.101010968006</v>
      </c>
      <c r="W45" s="467">
        <f t="shared" ref="W45:W61" si="29">EXP(R45)*C45</f>
        <v>552346.94584835425</v>
      </c>
      <c r="X45" s="468">
        <f t="shared" ref="X45:X61" si="30">(+U45-EXP(D45)*C45)/(EXP(D45)*C45)</f>
        <v>-0.13472523975227238</v>
      </c>
      <c r="Y45" s="468">
        <f t="shared" ref="Y45:Y61" si="31">ABS(X45)</f>
        <v>0.13472523975227238</v>
      </c>
      <c r="Z45" s="441">
        <f t="shared" ref="Z45:Z61" si="32">C45</f>
        <v>614989.28339619539</v>
      </c>
      <c r="AA45" s="471">
        <f t="shared" ref="AA45:AA61" si="33">(+G$63+H$63*C45)</f>
        <v>-0.95888557901040294</v>
      </c>
      <c r="AB45" s="441">
        <f t="shared" si="18"/>
        <v>-0.81776316795245418</v>
      </c>
      <c r="AC45" s="802">
        <f t="shared" si="15"/>
        <v>98</v>
      </c>
      <c r="AD45" s="435">
        <f t="shared" ref="AD45:AD61" si="34">AA45-SQRT($O$65)*$Q$65</f>
        <v>-1.8139284591886096</v>
      </c>
      <c r="AE45" s="441">
        <f t="shared" ref="AE45:AE61" si="35">AA45+SQRT($O$65)*$Q$65</f>
        <v>-0.10384269883219643</v>
      </c>
      <c r="AH45" s="54"/>
      <c r="AI45" s="510"/>
    </row>
    <row r="46" spans="1:35">
      <c r="A46" s="455">
        <v>1995</v>
      </c>
      <c r="B46" s="479">
        <f t="shared" si="21"/>
        <v>1999</v>
      </c>
      <c r="C46" s="515">
        <f>VLOOKUP($A46,'Brd Tbl'!$A$8:$AX$64,2)</f>
        <v>528715.42146727804</v>
      </c>
      <c r="D46" s="458">
        <f>VLOOKUP($A46,'Brd Tbl'!$A$8:$AX$64,19)</f>
        <v>-0.8799851659237713</v>
      </c>
      <c r="E46" s="461">
        <v>48</v>
      </c>
      <c r="F46" s="461">
        <v>46</v>
      </c>
      <c r="G46" s="462">
        <v>-0.22420173468888882</v>
      </c>
      <c r="H46" s="462">
        <v>-1.1938169268719646E-6</v>
      </c>
      <c r="I46" s="463">
        <v>5.2240457907063075E-7</v>
      </c>
      <c r="J46" s="461">
        <v>-0.8553911543347702</v>
      </c>
      <c r="K46" s="461">
        <v>0.66504622694882776</v>
      </c>
      <c r="L46" s="461">
        <v>0.10195357761603362</v>
      </c>
      <c r="M46" s="462">
        <v>0.45712186683080147</v>
      </c>
      <c r="N46" s="458">
        <f t="shared" si="22"/>
        <v>-2.4594011589001097E-2</v>
      </c>
      <c r="O46" s="440">
        <f t="shared" si="23"/>
        <v>6.0486540603992022E-4</v>
      </c>
      <c r="P46" s="465">
        <f t="shared" si="24"/>
        <v>-0.8553911543347702</v>
      </c>
      <c r="Q46" s="440">
        <f t="shared" si="19"/>
        <v>-1.7104340345129767</v>
      </c>
      <c r="R46" s="440">
        <f t="shared" si="25"/>
        <v>-3.4827415656368821E-4</v>
      </c>
      <c r="S46" s="466">
        <f>EXP(D46)*C46-$E$61</f>
        <v>219257.37513567525</v>
      </c>
      <c r="T46" s="440">
        <f t="shared" si="26"/>
        <v>48073796551.386223</v>
      </c>
      <c r="U46" s="466">
        <f t="shared" si="27"/>
        <v>224765.84628390928</v>
      </c>
      <c r="V46" s="467">
        <f t="shared" si="28"/>
        <v>95585.037562606463</v>
      </c>
      <c r="W46" s="467">
        <f t="shared" si="29"/>
        <v>528531.31561132113</v>
      </c>
      <c r="X46" s="468">
        <f t="shared" si="30"/>
        <v>2.4898938956037286E-2</v>
      </c>
      <c r="Y46" s="468">
        <f t="shared" si="31"/>
        <v>2.4898938956037286E-2</v>
      </c>
      <c r="Z46" s="441">
        <f t="shared" si="32"/>
        <v>528715.42146727804</v>
      </c>
      <c r="AA46" s="471">
        <f t="shared" si="33"/>
        <v>-0.85589314028090135</v>
      </c>
      <c r="AB46" s="441">
        <f t="shared" si="18"/>
        <v>-0.8799851659237713</v>
      </c>
      <c r="AC46" s="802">
        <f t="shared" si="15"/>
        <v>99</v>
      </c>
      <c r="AD46" s="435">
        <f t="shared" si="34"/>
        <v>-1.710936020459108</v>
      </c>
      <c r="AE46" s="441">
        <f t="shared" si="35"/>
        <v>-8.502601026948442E-4</v>
      </c>
      <c r="AH46" s="54"/>
      <c r="AI46" s="510"/>
    </row>
    <row r="47" spans="1:35">
      <c r="A47" s="455">
        <v>1996</v>
      </c>
      <c r="B47" s="479">
        <f t="shared" si="21"/>
        <v>2000</v>
      </c>
      <c r="C47" s="515">
        <f>VLOOKUP($A47,'Brd Tbl'!$A$8:$AX$64,2)</f>
        <v>674836.32951188635</v>
      </c>
      <c r="D47" s="458">
        <f>VLOOKUP($A47,'Brd Tbl'!$A$8:$AX$64,19)</f>
        <v>-2.1796807403317255</v>
      </c>
      <c r="E47" s="461">
        <v>48</v>
      </c>
      <c r="F47" s="461">
        <v>46</v>
      </c>
      <c r="G47" s="462">
        <v>-0.25653551856002266</v>
      </c>
      <c r="H47" s="462">
        <v>-1.0881437873769145E-6</v>
      </c>
      <c r="I47" s="463">
        <v>5.0789305226581126E-7</v>
      </c>
      <c r="J47" s="477">
        <v>-0.99085447801462212</v>
      </c>
      <c r="K47" s="461">
        <v>0.64233596342723986</v>
      </c>
      <c r="L47" s="461">
        <v>9.0732307971439913E-2</v>
      </c>
      <c r="M47" s="462">
        <v>0.42769055398561789</v>
      </c>
      <c r="N47" s="458">
        <f t="shared" si="22"/>
        <v>-1.1888262623171033</v>
      </c>
      <c r="O47" s="440">
        <f t="shared" si="23"/>
        <v>1.4133078819748541</v>
      </c>
      <c r="P47" s="465">
        <f t="shared" si="24"/>
        <v>-0.99085447801462212</v>
      </c>
      <c r="Q47" s="440">
        <f t="shared" si="19"/>
        <v>-1.8458973581928286</v>
      </c>
      <c r="R47" s="440">
        <f t="shared" si="25"/>
        <v>-0.13581159783641561</v>
      </c>
      <c r="S47" s="466">
        <f>EXP(D47)*C47-$E62</f>
        <v>76308.890082196449</v>
      </c>
      <c r="T47" s="440">
        <f t="shared" si="26"/>
        <v>5823046705.5767393</v>
      </c>
      <c r="U47" s="466">
        <f t="shared" si="27"/>
        <v>250539.27850669253</v>
      </c>
      <c r="V47" s="467">
        <f t="shared" si="28"/>
        <v>106545.57506357637</v>
      </c>
      <c r="W47" s="467">
        <f t="shared" si="29"/>
        <v>589136.90256210871</v>
      </c>
      <c r="X47" s="468">
        <f t="shared" si="30"/>
        <v>2.2832252996580484</v>
      </c>
      <c r="Y47" s="468">
        <f t="shared" si="31"/>
        <v>2.2832252996580484</v>
      </c>
      <c r="Z47" s="441">
        <f t="shared" si="32"/>
        <v>674836.32951188635</v>
      </c>
      <c r="AA47" s="471">
        <f t="shared" si="33"/>
        <v>-1.0303300825066115</v>
      </c>
      <c r="AB47" s="441">
        <f t="shared" si="18"/>
        <v>-2.1796807403317255</v>
      </c>
      <c r="AC47" s="799" t="s">
        <v>315</v>
      </c>
      <c r="AD47" s="435">
        <f t="shared" si="34"/>
        <v>-1.8853729626848179</v>
      </c>
      <c r="AE47" s="441">
        <f t="shared" si="35"/>
        <v>-0.175287202328405</v>
      </c>
      <c r="AH47" s="54"/>
      <c r="AI47" s="510"/>
    </row>
    <row r="48" spans="1:35">
      <c r="A48" s="455">
        <v>1997</v>
      </c>
      <c r="B48" s="479">
        <f t="shared" si="21"/>
        <v>2001</v>
      </c>
      <c r="C48" s="515">
        <f>VLOOKUP($A48,'Brd Tbl'!$A$8:$AX$64,2)</f>
        <v>900332.70692073856</v>
      </c>
      <c r="D48" s="458">
        <f>VLOOKUP($A48,'Brd Tbl'!$A$8:$AX$64,19)</f>
        <v>-2.1911751878250509</v>
      </c>
      <c r="E48" s="461">
        <v>48</v>
      </c>
      <c r="F48" s="461">
        <v>46</v>
      </c>
      <c r="G48" s="462">
        <v>-0.32492528844618185</v>
      </c>
      <c r="H48" s="462">
        <v>-9.6672452618582677E-7</v>
      </c>
      <c r="I48" s="463">
        <v>5.3438009477412281E-7</v>
      </c>
      <c r="J48" s="477">
        <v>-1.1952989979537356</v>
      </c>
      <c r="K48" s="461">
        <v>0.65038110667046567</v>
      </c>
      <c r="L48" s="461">
        <v>6.6419966440035422E-2</v>
      </c>
      <c r="M48" s="462">
        <v>0.43647260599441462</v>
      </c>
      <c r="N48" s="458">
        <f t="shared" si="22"/>
        <v>-0.99587618987131532</v>
      </c>
      <c r="O48" s="440">
        <f t="shared" si="23"/>
        <v>0.99176938555260807</v>
      </c>
      <c r="P48" s="465">
        <f t="shared" si="24"/>
        <v>-1.1952989979537356</v>
      </c>
      <c r="Q48" s="440">
        <f t="shared" si="19"/>
        <v>-2.0503418781319422</v>
      </c>
      <c r="R48" s="440">
        <f t="shared" si="25"/>
        <v>-0.34025611777552911</v>
      </c>
      <c r="S48" s="466">
        <f>EXP(D48)*C48-$E63</f>
        <v>100594.96414584623</v>
      </c>
      <c r="T48" s="440">
        <f t="shared" si="26"/>
        <v>10119346811.504087</v>
      </c>
      <c r="U48" s="466">
        <f t="shared" si="27"/>
        <v>272452.79545626557</v>
      </c>
      <c r="V48" s="467">
        <f t="shared" si="28"/>
        <v>115864.62586859944</v>
      </c>
      <c r="W48" s="467">
        <f t="shared" si="29"/>
        <v>640665.99443489825</v>
      </c>
      <c r="X48" s="468">
        <f t="shared" si="30"/>
        <v>1.7070952318754649</v>
      </c>
      <c r="Y48" s="468">
        <f t="shared" si="31"/>
        <v>1.7070952318754649</v>
      </c>
      <c r="Z48" s="441">
        <f t="shared" si="32"/>
        <v>900332.70692073856</v>
      </c>
      <c r="AA48" s="471">
        <f t="shared" si="33"/>
        <v>-1.2995242661765254</v>
      </c>
      <c r="AB48" s="441">
        <f t="shared" si="18"/>
        <v>-2.1911751878250509</v>
      </c>
      <c r="AC48" s="799" t="s">
        <v>316</v>
      </c>
      <c r="AD48" s="435">
        <f t="shared" si="34"/>
        <v>-2.154567146354732</v>
      </c>
      <c r="AE48" s="441">
        <f t="shared" si="35"/>
        <v>-0.44448138599831888</v>
      </c>
      <c r="AH48" s="54"/>
      <c r="AI48" s="510"/>
    </row>
    <row r="49" spans="1:35">
      <c r="A49" s="455">
        <v>1998</v>
      </c>
      <c r="B49" s="479">
        <f t="shared" si="21"/>
        <v>2002</v>
      </c>
      <c r="C49" s="515">
        <f>VLOOKUP($A49,'Brd Tbl'!$A$8:$AX$64,2)</f>
        <v>635380.79722662957</v>
      </c>
      <c r="D49" s="458">
        <f>VLOOKUP($A49,'Brd Tbl'!$A$8:$AX$64,19)</f>
        <v>-0.57076066043902107</v>
      </c>
      <c r="E49" s="461">
        <v>48</v>
      </c>
      <c r="F49" s="461">
        <v>46</v>
      </c>
      <c r="G49" s="462">
        <v>-0.21885335351274038</v>
      </c>
      <c r="H49" s="462">
        <v>-1.2211386435622769E-6</v>
      </c>
      <c r="I49" s="463">
        <v>5.2196175709052391E-7</v>
      </c>
      <c r="J49" s="477">
        <v>-0.99474139838358488</v>
      </c>
      <c r="K49" s="461">
        <v>0.66219155732264534</v>
      </c>
      <c r="L49" s="461">
        <v>0.10633352593642853</v>
      </c>
      <c r="M49" s="462">
        <v>0.45338947514867695</v>
      </c>
      <c r="N49" s="458">
        <f t="shared" si="22"/>
        <v>0.42398073794456381</v>
      </c>
      <c r="O49" s="440">
        <f t="shared" si="23"/>
        <v>0.17975966614801689</v>
      </c>
      <c r="P49" s="465">
        <f t="shared" si="24"/>
        <v>-0.99474139838358488</v>
      </c>
      <c r="Q49" s="440">
        <f t="shared" si="19"/>
        <v>-1.8497842785617915</v>
      </c>
      <c r="R49" s="440">
        <f t="shared" si="25"/>
        <v>-0.13969851820537837</v>
      </c>
      <c r="S49" s="466">
        <f>EXP(D49)*C49-$E$63</f>
        <v>359001.78446500207</v>
      </c>
      <c r="T49" s="440">
        <f t="shared" si="26"/>
        <v>128882281249.0558</v>
      </c>
      <c r="U49" s="466">
        <f t="shared" si="27"/>
        <v>234975.9342478883</v>
      </c>
      <c r="V49" s="467">
        <f t="shared" si="28"/>
        <v>99927.030163749776</v>
      </c>
      <c r="W49" s="467">
        <f t="shared" si="29"/>
        <v>552540.08435144729</v>
      </c>
      <c r="X49" s="468">
        <f t="shared" si="30"/>
        <v>-0.34556351242064415</v>
      </c>
      <c r="Y49" s="468">
        <f t="shared" si="31"/>
        <v>0.34556351242064415</v>
      </c>
      <c r="Z49" s="441">
        <f t="shared" si="32"/>
        <v>635380.79722662957</v>
      </c>
      <c r="AA49" s="471">
        <f t="shared" si="33"/>
        <v>-0.98322866151334165</v>
      </c>
      <c r="AB49" s="441">
        <f t="shared" si="18"/>
        <v>-0.57076066043902107</v>
      </c>
      <c r="AC49" s="799" t="s">
        <v>324</v>
      </c>
      <c r="AD49" s="435">
        <f t="shared" si="34"/>
        <v>-1.8382715416915483</v>
      </c>
      <c r="AE49" s="441">
        <f t="shared" si="35"/>
        <v>-0.12818578133513514</v>
      </c>
      <c r="AH49" s="54"/>
      <c r="AI49" s="510"/>
    </row>
    <row r="50" spans="1:35">
      <c r="A50" s="455">
        <v>1999</v>
      </c>
      <c r="B50" s="479">
        <f t="shared" si="21"/>
        <v>2003</v>
      </c>
      <c r="C50" s="515">
        <f>VLOOKUP($A50,'Brd Tbl'!$A$8:$AX$64,2)</f>
        <v>648887</v>
      </c>
      <c r="D50" s="458">
        <f>VLOOKUP($A50,'Brd Tbl'!$A$8:$AX$64,19)</f>
        <v>-0.86878574832701283</v>
      </c>
      <c r="E50" s="461">
        <v>48</v>
      </c>
      <c r="F50" s="461">
        <v>46</v>
      </c>
      <c r="G50" s="462">
        <v>-0.2222649442717336</v>
      </c>
      <c r="H50" s="462">
        <v>-1.2035809113919773E-6</v>
      </c>
      <c r="I50" s="463">
        <v>5.2449367269144828E-7</v>
      </c>
      <c r="J50" s="477">
        <v>-1.0032529511221395</v>
      </c>
      <c r="K50" s="461">
        <v>0.66476890201544769</v>
      </c>
      <c r="L50" s="461">
        <v>0.10271686355318481</v>
      </c>
      <c r="M50" s="462">
        <v>0.45675777176368676</v>
      </c>
      <c r="N50" s="458">
        <f t="shared" si="22"/>
        <v>0.13446720279512669</v>
      </c>
      <c r="O50" s="440">
        <f t="shared" si="23"/>
        <v>1.8081428627545727E-2</v>
      </c>
      <c r="P50" s="465">
        <f t="shared" si="24"/>
        <v>-1.0032529511221395</v>
      </c>
      <c r="Q50" s="440">
        <f t="shared" si="19"/>
        <v>-1.8582958313003459</v>
      </c>
      <c r="R50" s="440">
        <f t="shared" si="25"/>
        <v>-0.14821007094393301</v>
      </c>
      <c r="S50" s="466">
        <f>EXP(D50)*C50-$E$63</f>
        <v>272133.51143379207</v>
      </c>
      <c r="T50" s="440">
        <f t="shared" si="26"/>
        <v>74056648045.285843</v>
      </c>
      <c r="U50" s="466">
        <f t="shared" si="27"/>
        <v>237936.92948796035</v>
      </c>
      <c r="V50" s="467">
        <f t="shared" si="28"/>
        <v>101186.23767202703</v>
      </c>
      <c r="W50" s="467">
        <f t="shared" si="29"/>
        <v>559502.79125566874</v>
      </c>
      <c r="X50" s="468">
        <f t="shared" si="30"/>
        <v>-0.12581845088221949</v>
      </c>
      <c r="Y50" s="468">
        <f t="shared" si="31"/>
        <v>0.12581845088221949</v>
      </c>
      <c r="Z50" s="441">
        <f t="shared" si="32"/>
        <v>648887</v>
      </c>
      <c r="AA50" s="471">
        <f t="shared" si="33"/>
        <v>-0.99935216323800857</v>
      </c>
      <c r="AB50" s="441">
        <f t="shared" si="18"/>
        <v>-0.86878574832701283</v>
      </c>
      <c r="AC50" s="799" t="s">
        <v>349</v>
      </c>
      <c r="AD50" s="435">
        <f t="shared" si="34"/>
        <v>-1.8543950434162151</v>
      </c>
      <c r="AE50" s="441">
        <f t="shared" si="35"/>
        <v>-0.14430928305980206</v>
      </c>
      <c r="AH50" s="54"/>
      <c r="AI50" s="510"/>
    </row>
    <row r="51" spans="1:35">
      <c r="A51" s="455">
        <v>2000</v>
      </c>
      <c r="B51" s="479">
        <f t="shared" si="21"/>
        <v>2004</v>
      </c>
      <c r="C51" s="515">
        <f>VLOOKUP($A51,'Brd Tbl'!$A$8:$AX$64,2)</f>
        <v>537592</v>
      </c>
      <c r="D51" s="458">
        <f>VLOOKUP($A51,'Brd Tbl'!$A$8:$AX$64,19)</f>
        <v>-6.8919964375729878E-2</v>
      </c>
      <c r="E51" s="461">
        <v>48</v>
      </c>
      <c r="F51" s="461">
        <v>46</v>
      </c>
      <c r="G51" s="462">
        <v>-0.23953169917185502</v>
      </c>
      <c r="H51" s="462">
        <v>-1.1971861796653898E-6</v>
      </c>
      <c r="I51" s="463">
        <v>5.1401419764180874E-7</v>
      </c>
      <c r="J51" s="477">
        <v>-0.88312941187053129</v>
      </c>
      <c r="K51" s="461">
        <v>0.65435633547097272</v>
      </c>
      <c r="L51" s="461">
        <v>0.10548766119857725</v>
      </c>
      <c r="M51" s="462">
        <v>0.44332328018530665</v>
      </c>
      <c r="N51" s="458">
        <f t="shared" si="22"/>
        <v>0.8142094474948014</v>
      </c>
      <c r="O51" s="440">
        <f t="shared" si="23"/>
        <v>0.66293702438978974</v>
      </c>
      <c r="P51" s="465">
        <f t="shared" si="24"/>
        <v>-0.88312941187053129</v>
      </c>
      <c r="Q51" s="440">
        <f t="shared" si="19"/>
        <v>-1.7381722920487377</v>
      </c>
      <c r="R51" s="440">
        <f t="shared" si="25"/>
        <v>-2.8086531692324779E-2</v>
      </c>
      <c r="S51" s="466">
        <f>EXP(D51)*C51-E63</f>
        <v>501740.11599463865</v>
      </c>
      <c r="T51" s="440">
        <f t="shared" si="26"/>
        <v>251743143998.31345</v>
      </c>
      <c r="U51" s="466">
        <f t="shared" si="27"/>
        <v>222287.25708558111</v>
      </c>
      <c r="V51" s="467">
        <f t="shared" si="28"/>
        <v>94530.980438085811</v>
      </c>
      <c r="W51" s="467">
        <f t="shared" si="29"/>
        <v>522702.97455545765</v>
      </c>
      <c r="X51" s="468">
        <f t="shared" si="30"/>
        <v>-0.55701060465417485</v>
      </c>
      <c r="Y51" s="468">
        <f t="shared" si="31"/>
        <v>0.55701060465417485</v>
      </c>
      <c r="Z51" s="441">
        <f t="shared" si="32"/>
        <v>537592</v>
      </c>
      <c r="AA51" s="471">
        <f t="shared" si="33"/>
        <v>-0.86648986622105018</v>
      </c>
      <c r="AB51" s="441">
        <f t="shared" si="18"/>
        <v>-6.8919964375729878E-2</v>
      </c>
      <c r="AC51" s="799" t="s">
        <v>350</v>
      </c>
      <c r="AD51" s="435">
        <f t="shared" si="34"/>
        <v>-1.7215327463992567</v>
      </c>
      <c r="AE51" s="441">
        <f t="shared" si="35"/>
        <v>-1.1446986042843665E-2</v>
      </c>
      <c r="AH51" s="54"/>
      <c r="AI51" s="510"/>
    </row>
    <row r="52" spans="1:35">
      <c r="A52" s="455">
        <v>2001</v>
      </c>
      <c r="B52" s="479">
        <f t="shared" si="21"/>
        <v>2005</v>
      </c>
      <c r="C52" s="515">
        <f>VLOOKUP($A52,'Brd Tbl'!$A$8:$AX$64,2)</f>
        <v>680513</v>
      </c>
      <c r="D52" s="458">
        <f>VLOOKUP($A52,'Brd Tbl'!$A$8:$AX$64,19)</f>
        <v>-0.96931044049721593</v>
      </c>
      <c r="E52" s="461">
        <v>48</v>
      </c>
      <c r="F52" s="461">
        <v>46</v>
      </c>
      <c r="G52" s="462">
        <v>-0.22271144596388937</v>
      </c>
      <c r="H52" s="462">
        <v>-1.2002689057006421E-6</v>
      </c>
      <c r="I52" s="463">
        <v>5.2607610850612143E-7</v>
      </c>
      <c r="J52" s="477">
        <v>-1.0395100397889503</v>
      </c>
      <c r="K52" s="461">
        <v>0.66497812165496917</v>
      </c>
      <c r="L52" s="461">
        <v>0.10165847618501038</v>
      </c>
      <c r="M52" s="462">
        <v>0.45703180186549558</v>
      </c>
      <c r="N52" s="458">
        <f t="shared" si="22"/>
        <v>7.019959929173436E-2</v>
      </c>
      <c r="O52" s="440">
        <f t="shared" si="23"/>
        <v>4.9279837407200716E-3</v>
      </c>
      <c r="P52" s="465">
        <f t="shared" si="24"/>
        <v>-1.0395100397889503</v>
      </c>
      <c r="Q52" s="440">
        <f t="shared" si="19"/>
        <v>-1.8945529199671567</v>
      </c>
      <c r="R52" s="440">
        <f t="shared" si="25"/>
        <v>-0.18446715961074378</v>
      </c>
      <c r="S52" s="466">
        <f>EXP(D52)*C52-$E$63</f>
        <v>258099.88316457791</v>
      </c>
      <c r="T52" s="440">
        <f t="shared" si="26"/>
        <v>66615549689.568771</v>
      </c>
      <c r="U52" s="466">
        <f t="shared" si="27"/>
        <v>240648.38523700478</v>
      </c>
      <c r="V52" s="467">
        <f t="shared" si="28"/>
        <v>102339.32477981823</v>
      </c>
      <c r="W52" s="467">
        <f t="shared" si="29"/>
        <v>565878.71223280043</v>
      </c>
      <c r="X52" s="468">
        <f t="shared" si="30"/>
        <v>-6.7792266668130499E-2</v>
      </c>
      <c r="Y52" s="468">
        <f t="shared" si="31"/>
        <v>6.7792266668130499E-2</v>
      </c>
      <c r="Z52" s="441">
        <f t="shared" si="32"/>
        <v>680513</v>
      </c>
      <c r="AA52" s="471">
        <f t="shared" si="33"/>
        <v>-1.0371068063527784</v>
      </c>
      <c r="AB52" s="441">
        <f t="shared" si="18"/>
        <v>-0.96931044049721593</v>
      </c>
      <c r="AC52" s="799" t="s">
        <v>351</v>
      </c>
      <c r="AD52" s="435">
        <f t="shared" si="34"/>
        <v>-1.8921496865309848</v>
      </c>
      <c r="AE52" s="441">
        <f t="shared" si="35"/>
        <v>-0.1820639261745719</v>
      </c>
      <c r="AH52" s="54"/>
      <c r="AI52" s="510"/>
    </row>
    <row r="53" spans="1:35">
      <c r="A53" s="455">
        <v>2002</v>
      </c>
      <c r="B53" s="479">
        <f t="shared" si="21"/>
        <v>2006</v>
      </c>
      <c r="C53" s="515">
        <f>VLOOKUP($A53,'Brd Tbl'!$A$8:$AX$64,2)</f>
        <v>732389</v>
      </c>
      <c r="D53" s="458">
        <f>VLOOKUP($A53,'Brd Tbl'!$A$8:$AX$64,19)</f>
        <v>-0.60195918365478707</v>
      </c>
      <c r="E53" s="461">
        <v>48</v>
      </c>
      <c r="F53" s="461">
        <v>46</v>
      </c>
      <c r="G53" s="462">
        <v>-0.20096767820491812</v>
      </c>
      <c r="H53" s="462">
        <v>-1.258553729262607E-6</v>
      </c>
      <c r="I53" s="463">
        <v>5.2584988715180908E-7</v>
      </c>
      <c r="J53" s="477">
        <v>-1.1227185854258295</v>
      </c>
      <c r="K53" s="461">
        <v>0.66081164796617564</v>
      </c>
      <c r="L53" s="461">
        <v>0.11073690679813523</v>
      </c>
      <c r="M53" s="462">
        <v>0.45148466914065782</v>
      </c>
      <c r="N53" s="458">
        <f t="shared" si="22"/>
        <v>0.52075940177104241</v>
      </c>
      <c r="O53" s="440">
        <f t="shared" si="23"/>
        <v>0.27119035453293394</v>
      </c>
      <c r="P53" s="465">
        <f t="shared" si="24"/>
        <v>-1.1227185854258295</v>
      </c>
      <c r="Q53" s="440">
        <f t="shared" si="19"/>
        <v>-1.9777614656040359</v>
      </c>
      <c r="R53" s="440">
        <f t="shared" si="25"/>
        <v>-0.26767570524762296</v>
      </c>
      <c r="S53" s="466">
        <f>EXP(D53)*C53-$E$63</f>
        <v>401107.89491228049</v>
      </c>
      <c r="T53" s="440">
        <f t="shared" si="26"/>
        <v>160887543360.96106</v>
      </c>
      <c r="U53" s="466">
        <f t="shared" si="27"/>
        <v>238314.97143944015</v>
      </c>
      <c r="V53" s="467">
        <f t="shared" si="28"/>
        <v>101347.00566560731</v>
      </c>
      <c r="W53" s="467">
        <f t="shared" si="29"/>
        <v>560391.74753294722</v>
      </c>
      <c r="X53" s="468">
        <f t="shared" si="30"/>
        <v>-0.40593076060290173</v>
      </c>
      <c r="Y53" s="468">
        <f t="shared" si="31"/>
        <v>0.40593076060290173</v>
      </c>
      <c r="Z53" s="441">
        <f t="shared" si="32"/>
        <v>732389</v>
      </c>
      <c r="AA53" s="471">
        <f t="shared" si="33"/>
        <v>-1.099035594888218</v>
      </c>
      <c r="AB53" s="441">
        <f t="shared" si="18"/>
        <v>-0.60195918365478707</v>
      </c>
      <c r="AC53" s="799" t="s">
        <v>361</v>
      </c>
      <c r="AD53" s="435">
        <f t="shared" si="34"/>
        <v>-1.9540784750664244</v>
      </c>
      <c r="AE53" s="441">
        <f t="shared" si="35"/>
        <v>-0.24399271471001149</v>
      </c>
      <c r="AH53" s="54"/>
      <c r="AI53" s="510"/>
    </row>
    <row r="54" spans="1:35">
      <c r="A54" s="455">
        <v>2003</v>
      </c>
      <c r="B54" s="479">
        <f t="shared" si="21"/>
        <v>2007</v>
      </c>
      <c r="C54" s="515">
        <f>VLOOKUP($A54,'Brd Tbl'!$A$8:$AX$64,2)</f>
        <v>653564</v>
      </c>
      <c r="D54" s="458">
        <f>VLOOKUP($A54,'Brd Tbl'!$A$8:$AX$64,19)</f>
        <v>-1.5091751112617477</v>
      </c>
      <c r="E54" s="461">
        <v>48</v>
      </c>
      <c r="F54" s="461">
        <v>46</v>
      </c>
      <c r="G54" s="462">
        <v>-0.2350071786457657</v>
      </c>
      <c r="H54" s="462">
        <v>-1.1544267702108547E-6</v>
      </c>
      <c r="I54" s="463">
        <v>5.2151678632211087E-7</v>
      </c>
      <c r="J54" s="477">
        <v>-0.98949895629185269</v>
      </c>
      <c r="K54" s="461">
        <v>0.66075927139654977</v>
      </c>
      <c r="L54" s="461">
        <v>9.6267213518719447E-2</v>
      </c>
      <c r="M54" s="462">
        <v>0.45150814931750455</v>
      </c>
      <c r="N54" s="458">
        <f t="shared" si="22"/>
        <v>-0.51967615496989505</v>
      </c>
      <c r="O54" s="440">
        <f t="shared" si="23"/>
        <v>0.2700633060442944</v>
      </c>
      <c r="P54" s="465">
        <f t="shared" si="24"/>
        <v>-0.98949895629185269</v>
      </c>
      <c r="Q54" s="440">
        <f t="shared" si="19"/>
        <v>-1.8445418364700592</v>
      </c>
      <c r="R54" s="440">
        <f t="shared" si="25"/>
        <v>-0.13445607611364618</v>
      </c>
      <c r="S54" s="466">
        <f>EXP(D54)*C54-$E$63</f>
        <v>144448.9544226641</v>
      </c>
      <c r="T54" s="440">
        <f t="shared" si="26"/>
        <v>20865500433.800892</v>
      </c>
      <c r="U54" s="466">
        <f t="shared" si="27"/>
        <v>242970.85701711205</v>
      </c>
      <c r="V54" s="467">
        <f t="shared" si="28"/>
        <v>103326.99063746478</v>
      </c>
      <c r="W54" s="467">
        <f t="shared" si="29"/>
        <v>571339.94704985432</v>
      </c>
      <c r="X54" s="468">
        <f t="shared" si="30"/>
        <v>0.68148302159634411</v>
      </c>
      <c r="Y54" s="468">
        <f t="shared" si="31"/>
        <v>0.68148302159634411</v>
      </c>
      <c r="Z54" s="441">
        <f t="shared" si="32"/>
        <v>653564</v>
      </c>
      <c r="AA54" s="471">
        <f t="shared" si="33"/>
        <v>-1.004935495491464</v>
      </c>
      <c r="AB54" s="441">
        <f t="shared" si="18"/>
        <v>-1.5091751112617477</v>
      </c>
      <c r="AC54" s="799" t="s">
        <v>362</v>
      </c>
      <c r="AD54" s="435">
        <f t="shared" si="34"/>
        <v>-1.8599783756696704</v>
      </c>
      <c r="AE54" s="441">
        <f t="shared" si="35"/>
        <v>-0.14989261531325748</v>
      </c>
      <c r="AH54" s="54"/>
      <c r="AI54" s="510"/>
    </row>
    <row r="55" spans="1:35">
      <c r="A55" s="455">
        <v>2004</v>
      </c>
      <c r="B55" s="479">
        <f t="shared" si="21"/>
        <v>2008</v>
      </c>
      <c r="C55" s="515">
        <f>VLOOKUP($A55,'Brd Tbl'!$A$8:$AX$64,2)</f>
        <v>586352</v>
      </c>
      <c r="D55" s="458">
        <f>VLOOKUP($A55,'Brd Tbl'!$A$8:$AX$64,19)</f>
        <v>-1.7357930203512755</v>
      </c>
      <c r="E55" s="461">
        <v>48</v>
      </c>
      <c r="F55" s="461">
        <v>46</v>
      </c>
      <c r="G55" s="462">
        <v>-0.22287879584498227</v>
      </c>
      <c r="H55" s="462">
        <v>-1.1653595089635758E-6</v>
      </c>
      <c r="I55" s="463">
        <v>5.1419969625570648E-7</v>
      </c>
      <c r="J55" s="477">
        <v>-0.90618967464479283</v>
      </c>
      <c r="K55" s="461">
        <v>0.65396589993826704</v>
      </c>
      <c r="L55" s="461">
        <v>0.10044453895330535</v>
      </c>
      <c r="M55" s="462">
        <v>0.44279609920994001</v>
      </c>
      <c r="N55" s="458">
        <f t="shared" si="22"/>
        <v>-0.82960334570648264</v>
      </c>
      <c r="O55" s="440">
        <f t="shared" si="23"/>
        <v>0.68824171120738975</v>
      </c>
      <c r="P55" s="465">
        <f t="shared" si="24"/>
        <v>-0.90618967464479283</v>
      </c>
      <c r="Q55" s="440">
        <f t="shared" si="19"/>
        <v>-1.7612325548229992</v>
      </c>
      <c r="R55" s="440">
        <f t="shared" si="25"/>
        <v>-5.1146794466586321E-2</v>
      </c>
      <c r="S55" s="466">
        <f t="shared" ref="S55:S60" si="36">EXP(D55)*C55-E64</f>
        <v>103350.61858821202</v>
      </c>
      <c r="T55" s="440">
        <f t="shared" si="26"/>
        <v>10681350362.566076</v>
      </c>
      <c r="U55" s="466">
        <f t="shared" si="27"/>
        <v>236921.91569068003</v>
      </c>
      <c r="V55" s="467">
        <f t="shared" si="28"/>
        <v>100754.58787494418</v>
      </c>
      <c r="W55" s="467">
        <f t="shared" si="29"/>
        <v>557116.01147346559</v>
      </c>
      <c r="X55" s="468">
        <f t="shared" si="30"/>
        <v>1.2924092659248285</v>
      </c>
      <c r="Y55" s="468">
        <f t="shared" si="31"/>
        <v>1.2924092659248285</v>
      </c>
      <c r="Z55" s="441">
        <f t="shared" si="32"/>
        <v>586352</v>
      </c>
      <c r="AA55" s="471">
        <f t="shared" si="33"/>
        <v>-0.92469882082410415</v>
      </c>
      <c r="AB55" s="441">
        <f t="shared" si="18"/>
        <v>-1.7357930203512755</v>
      </c>
      <c r="AC55" s="799" t="s">
        <v>363</v>
      </c>
      <c r="AD55" s="435">
        <f t="shared" si="34"/>
        <v>-1.7797417010023107</v>
      </c>
      <c r="AE55" s="441">
        <f t="shared" si="35"/>
        <v>-6.965594064589764E-2</v>
      </c>
      <c r="AH55" s="54"/>
      <c r="AI55" s="510"/>
    </row>
    <row r="56" spans="1:35">
      <c r="A56" s="455">
        <v>2005</v>
      </c>
      <c r="B56" s="479">
        <f t="shared" si="21"/>
        <v>2009</v>
      </c>
      <c r="C56" s="515">
        <f>VLOOKUP($A56,'Brd Tbl'!$A$8:$AX$64,2)</f>
        <v>631646.30056050722</v>
      </c>
      <c r="D56" s="458">
        <f>VLOOKUP($A56,'Brd Tbl'!$A$8:$AX$64,19)</f>
        <v>-0.5941889157186131</v>
      </c>
      <c r="E56" s="461">
        <v>48</v>
      </c>
      <c r="F56" s="461">
        <v>46</v>
      </c>
      <c r="G56" s="462">
        <v>-0.21973599925403864</v>
      </c>
      <c r="H56" s="462">
        <v>-1.218366406199145E-6</v>
      </c>
      <c r="I56" s="463">
        <v>5.2213125167050336E-7</v>
      </c>
      <c r="J56" s="477">
        <v>-0.9893126324569288</v>
      </c>
      <c r="K56" s="461">
        <v>0.66256769116480119</v>
      </c>
      <c r="L56" s="461">
        <v>0.10584087819943012</v>
      </c>
      <c r="M56" s="462">
        <v>0.45388191086990437</v>
      </c>
      <c r="N56" s="458">
        <f t="shared" si="22"/>
        <v>0.3951237167383157</v>
      </c>
      <c r="O56" s="440">
        <f t="shared" si="23"/>
        <v>0.15612275152910074</v>
      </c>
      <c r="P56" s="465">
        <f t="shared" si="24"/>
        <v>-0.9893126324569288</v>
      </c>
      <c r="Q56" s="440">
        <f t="shared" si="19"/>
        <v>-1.8443555126351354</v>
      </c>
      <c r="R56" s="440">
        <f t="shared" si="25"/>
        <v>-0.13426975227872229</v>
      </c>
      <c r="S56" s="466">
        <f t="shared" si="36"/>
        <v>348675.14452879835</v>
      </c>
      <c r="T56" s="440">
        <f t="shared" si="26"/>
        <v>121574356412.17842</v>
      </c>
      <c r="U56" s="466">
        <f t="shared" si="27"/>
        <v>234866.42634557103</v>
      </c>
      <c r="V56" s="467">
        <f t="shared" si="28"/>
        <v>99880.460290570831</v>
      </c>
      <c r="W56" s="467">
        <f t="shared" si="29"/>
        <v>552282.57923383941</v>
      </c>
      <c r="X56" s="468">
        <f t="shared" si="30"/>
        <v>-0.32640330109285276</v>
      </c>
      <c r="Y56" s="468">
        <f t="shared" si="31"/>
        <v>0.32640330109285276</v>
      </c>
      <c r="Z56" s="441">
        <f t="shared" si="32"/>
        <v>631646.30056050722</v>
      </c>
      <c r="AA56" s="471">
        <f t="shared" si="33"/>
        <v>-0.97877047556371954</v>
      </c>
      <c r="AB56" s="441">
        <f t="shared" si="18"/>
        <v>-0.5941889157186131</v>
      </c>
      <c r="AC56" s="799" t="s">
        <v>363</v>
      </c>
      <c r="AD56" s="435">
        <f t="shared" si="34"/>
        <v>-1.8338133557419261</v>
      </c>
      <c r="AE56" s="441">
        <f t="shared" si="35"/>
        <v>-0.12372759538551303</v>
      </c>
      <c r="AH56" s="54"/>
      <c r="AI56" s="510"/>
    </row>
    <row r="57" spans="1:35">
      <c r="A57" s="455">
        <v>2006</v>
      </c>
      <c r="B57" s="479">
        <f t="shared" si="21"/>
        <v>2010</v>
      </c>
      <c r="C57" s="515">
        <f>VLOOKUP($A57,'Brd Tbl'!$A$8:$AX$64,2)</f>
        <v>777081</v>
      </c>
      <c r="D57" s="458">
        <f>VLOOKUP($A57,'Brd Tbl'!$A$8:$AX$64,19)</f>
        <v>-0.63993494726531808</v>
      </c>
      <c r="E57" s="461">
        <v>48</v>
      </c>
      <c r="F57" s="461">
        <v>46</v>
      </c>
      <c r="G57" s="462">
        <v>-0.19195011389212668</v>
      </c>
      <c r="H57" s="462">
        <v>-1.2764315518531301E-6</v>
      </c>
      <c r="I57" s="463">
        <v>5.2902310073561601E-7</v>
      </c>
      <c r="J57" s="477">
        <v>-1.1838408206377089</v>
      </c>
      <c r="K57" s="461">
        <v>0.66048474344751329</v>
      </c>
      <c r="L57" s="461">
        <v>0.11234004298194439</v>
      </c>
      <c r="M57" s="462">
        <v>0.45097126821240691</v>
      </c>
      <c r="N57" s="458">
        <f t="shared" si="22"/>
        <v>0.54390587337239082</v>
      </c>
      <c r="O57" s="440">
        <f t="shared" si="23"/>
        <v>0.29583359908898327</v>
      </c>
      <c r="P57" s="465">
        <f t="shared" si="24"/>
        <v>-1.1838408206377089</v>
      </c>
      <c r="Q57" s="440">
        <f t="shared" si="19"/>
        <v>-2.0388837008159153</v>
      </c>
      <c r="R57" s="440">
        <f t="shared" si="25"/>
        <v>-0.32879794045950239</v>
      </c>
      <c r="S57" s="466">
        <f t="shared" si="36"/>
        <v>409775.58032286481</v>
      </c>
      <c r="T57" s="440">
        <f t="shared" si="26"/>
        <v>167916026228.94064</v>
      </c>
      <c r="U57" s="466">
        <f t="shared" si="27"/>
        <v>237865.11549636556</v>
      </c>
      <c r="V57" s="467">
        <f t="shared" si="28"/>
        <v>101155.69769810485</v>
      </c>
      <c r="W57" s="467">
        <f t="shared" si="29"/>
        <v>559333.92243469611</v>
      </c>
      <c r="X57" s="468">
        <f t="shared" si="30"/>
        <v>-0.41952344913049699</v>
      </c>
      <c r="Y57" s="468">
        <f t="shared" si="31"/>
        <v>0.41952344913049699</v>
      </c>
      <c r="Z57" s="441">
        <f t="shared" si="32"/>
        <v>777081</v>
      </c>
      <c r="AA57" s="471">
        <f t="shared" si="33"/>
        <v>-1.1523882322778753</v>
      </c>
      <c r="AB57" s="441">
        <f t="shared" si="18"/>
        <v>-0.63993494726531808</v>
      </c>
      <c r="AC57" s="799" t="s">
        <v>363</v>
      </c>
      <c r="AD57" s="435">
        <f t="shared" si="34"/>
        <v>-2.0074311124560817</v>
      </c>
      <c r="AE57" s="441">
        <f t="shared" si="35"/>
        <v>-0.29734535209966884</v>
      </c>
      <c r="AH57" s="54"/>
      <c r="AI57" s="510"/>
    </row>
    <row r="58" spans="1:35">
      <c r="A58" s="455">
        <v>2007</v>
      </c>
      <c r="B58" s="479">
        <f t="shared" si="21"/>
        <v>2011</v>
      </c>
      <c r="C58" s="515">
        <f>VLOOKUP($A58,'Brd Tbl'!$A$8:$AX$64,2)</f>
        <v>786913</v>
      </c>
      <c r="D58" s="458">
        <f>VLOOKUP($A58,'Brd Tbl'!$A$8:$AX$64,19)</f>
        <v>-0.57527786007198112</v>
      </c>
      <c r="E58" s="461">
        <v>48</v>
      </c>
      <c r="F58" s="461">
        <v>46</v>
      </c>
      <c r="G58" s="462">
        <v>-0.18492342582342924</v>
      </c>
      <c r="H58" s="462">
        <v>-1.2928642522945354E-6</v>
      </c>
      <c r="I58" s="463">
        <v>5.2868469852798665E-7</v>
      </c>
      <c r="J58" s="477">
        <v>-1.2022951131892792</v>
      </c>
      <c r="K58" s="461">
        <v>0.65899384995141508</v>
      </c>
      <c r="L58" s="461">
        <v>0.11504687072534671</v>
      </c>
      <c r="M58" s="462">
        <v>0.44894382994953647</v>
      </c>
      <c r="N58" s="458">
        <f t="shared" si="22"/>
        <v>0.62701725311729806</v>
      </c>
      <c r="O58" s="440">
        <f t="shared" si="23"/>
        <v>0.39315063570676184</v>
      </c>
      <c r="P58" s="465">
        <f t="shared" si="24"/>
        <v>-1.2022951131892792</v>
      </c>
      <c r="Q58" s="440">
        <f t="shared" si="19"/>
        <v>-2.0573379933674856</v>
      </c>
      <c r="R58" s="440">
        <f t="shared" si="25"/>
        <v>-0.34725223301107266</v>
      </c>
      <c r="S58" s="466">
        <f t="shared" si="36"/>
        <v>442676.75714160188</v>
      </c>
      <c r="T58" s="440">
        <f t="shared" si="26"/>
        <v>195962711313.40475</v>
      </c>
      <c r="U58" s="466">
        <f t="shared" si="27"/>
        <v>236470.29150791056</v>
      </c>
      <c r="V58" s="467">
        <f t="shared" si="28"/>
        <v>100562.52793706699</v>
      </c>
      <c r="W58" s="467">
        <f t="shared" si="29"/>
        <v>556054.02840340638</v>
      </c>
      <c r="X58" s="468">
        <f t="shared" si="30"/>
        <v>-0.46581724092582238</v>
      </c>
      <c r="Y58" s="468">
        <f t="shared" si="31"/>
        <v>0.46581724092582238</v>
      </c>
      <c r="Z58" s="441">
        <f t="shared" si="32"/>
        <v>786913</v>
      </c>
      <c r="AA58" s="471">
        <f t="shared" si="33"/>
        <v>-1.1641255259952097</v>
      </c>
      <c r="AB58" s="441">
        <f t="shared" si="18"/>
        <v>-0.57527786007198112</v>
      </c>
      <c r="AC58" s="799" t="s">
        <v>363</v>
      </c>
      <c r="AD58" s="435">
        <f t="shared" si="34"/>
        <v>-2.0191684061734163</v>
      </c>
      <c r="AE58" s="441">
        <f t="shared" si="35"/>
        <v>-0.30908264581700318</v>
      </c>
      <c r="AH58" s="54"/>
      <c r="AI58" s="510"/>
    </row>
    <row r="59" spans="1:35">
      <c r="A59" s="455">
        <v>2008</v>
      </c>
      <c r="B59" s="479">
        <f t="shared" si="21"/>
        <v>2012</v>
      </c>
      <c r="C59" s="515">
        <f>VLOOKUP($A59,'Brd Tbl'!$A$8:$AX$64,2)</f>
        <v>615240</v>
      </c>
      <c r="D59" s="458">
        <f>VLOOKUP($A59,'Brd Tbl'!$A$8:$AX$64,19)</f>
        <v>-0.29938090585539956</v>
      </c>
      <c r="E59" s="461">
        <v>48</v>
      </c>
      <c r="F59" s="461">
        <v>46</v>
      </c>
      <c r="G59" s="462">
        <v>-0.21982097758155228</v>
      </c>
      <c r="H59" s="462">
        <v>-1.229027550799706E-6</v>
      </c>
      <c r="I59" s="463">
        <v>5.1781194284182809E-7</v>
      </c>
      <c r="J59" s="477">
        <v>-0.97596788793556344</v>
      </c>
      <c r="K59" s="461">
        <v>0.6577193137697932</v>
      </c>
      <c r="L59" s="461">
        <v>0.10910570446436933</v>
      </c>
      <c r="M59" s="462">
        <v>0.44759759435342011</v>
      </c>
      <c r="N59" s="458">
        <f t="shared" si="22"/>
        <v>0.67658698208016388</v>
      </c>
      <c r="O59" s="440">
        <f t="shared" si="23"/>
        <v>0.45776994432034401</v>
      </c>
      <c r="P59" s="465">
        <f t="shared" si="24"/>
        <v>-0.97596788793556344</v>
      </c>
      <c r="Q59" s="440">
        <f t="shared" si="19"/>
        <v>-1.8310107681137699</v>
      </c>
      <c r="R59" s="440">
        <f t="shared" si="25"/>
        <v>-0.12092500775735693</v>
      </c>
      <c r="S59" s="466">
        <f t="shared" si="36"/>
        <v>456063.26080517843</v>
      </c>
      <c r="T59" s="440">
        <f t="shared" si="26"/>
        <v>207993697856.2522</v>
      </c>
      <c r="U59" s="466">
        <f t="shared" si="27"/>
        <v>231839.3204955</v>
      </c>
      <c r="V59" s="467">
        <f t="shared" si="28"/>
        <v>98593.138256690567</v>
      </c>
      <c r="W59" s="467">
        <f t="shared" si="29"/>
        <v>545164.41486908158</v>
      </c>
      <c r="X59" s="468">
        <f t="shared" si="30"/>
        <v>-0.49165096068868097</v>
      </c>
      <c r="Y59" s="468">
        <f t="shared" si="31"/>
        <v>0.49165096068868097</v>
      </c>
      <c r="Z59" s="441">
        <f t="shared" si="32"/>
        <v>615240</v>
      </c>
      <c r="AA59" s="471">
        <f t="shared" si="33"/>
        <v>-0.95918488072100783</v>
      </c>
      <c r="AB59" s="441">
        <f t="shared" si="18"/>
        <v>-0.29938090585539956</v>
      </c>
      <c r="AC59" s="799" t="s">
        <v>363</v>
      </c>
      <c r="AD59" s="435">
        <f t="shared" si="34"/>
        <v>-1.8142277608992143</v>
      </c>
      <c r="AE59" s="441">
        <f t="shared" si="35"/>
        <v>-0.10414200054280132</v>
      </c>
      <c r="AH59" s="54" t="s">
        <v>182</v>
      </c>
      <c r="AI59" s="510">
        <f>X82</f>
        <v>0</v>
      </c>
    </row>
    <row r="60" spans="1:35">
      <c r="A60" s="455">
        <v>2009</v>
      </c>
      <c r="B60" s="479">
        <f t="shared" si="21"/>
        <v>2013</v>
      </c>
      <c r="C60" s="515">
        <f>VLOOKUP($A60,'Brd Tbl'!$A$8:$AX$64,2)</f>
        <v>604964</v>
      </c>
      <c r="D60" s="458">
        <f>VLOOKUP($A60,'Brd Tbl'!$A$8:$AX$64,19)</f>
        <v>7.2931416026379176E-2</v>
      </c>
      <c r="E60" s="461">
        <v>48</v>
      </c>
      <c r="F60" s="461">
        <v>46</v>
      </c>
      <c r="G60" s="462">
        <v>-0.22067136055901404</v>
      </c>
      <c r="H60" s="462">
        <v>-1.2415786438803828E-6</v>
      </c>
      <c r="I60" s="463">
        <v>5.0943166038407811E-7</v>
      </c>
      <c r="J60" s="477">
        <v>-0.97178174327546596</v>
      </c>
      <c r="K60" s="461">
        <v>0.64740823004119374</v>
      </c>
      <c r="L60" s="461">
        <v>0.11436043098593109</v>
      </c>
      <c r="M60" s="462">
        <v>0.4343964351680431</v>
      </c>
      <c r="N60" s="458">
        <f t="shared" si="22"/>
        <v>1.0447131593018451</v>
      </c>
      <c r="O60" s="440">
        <f t="shared" si="23"/>
        <v>1.0914255852184422</v>
      </c>
      <c r="P60" s="465">
        <f t="shared" si="24"/>
        <v>-0.97178174327546596</v>
      </c>
      <c r="Q60" s="440">
        <f t="shared" si="19"/>
        <v>-1.8268246234536725</v>
      </c>
      <c r="R60" s="440">
        <f t="shared" si="25"/>
        <v>-0.11673886309725945</v>
      </c>
      <c r="S60" s="466">
        <f t="shared" si="36"/>
        <v>650733.61710635398</v>
      </c>
      <c r="T60" s="440">
        <f t="shared" si="26"/>
        <v>423454240432.31891</v>
      </c>
      <c r="U60" s="466">
        <f t="shared" si="27"/>
        <v>228923.34484593381</v>
      </c>
      <c r="V60" s="467">
        <f t="shared" si="28"/>
        <v>97353.076002555361</v>
      </c>
      <c r="W60" s="467">
        <f t="shared" si="29"/>
        <v>538307.570415903</v>
      </c>
      <c r="X60" s="468">
        <f t="shared" si="30"/>
        <v>-0.64820728662536686</v>
      </c>
      <c r="Y60" s="468">
        <f t="shared" si="31"/>
        <v>0.64820728662536686</v>
      </c>
      <c r="Z60" s="441">
        <f t="shared" si="32"/>
        <v>604964</v>
      </c>
      <c r="AA60" s="471">
        <f t="shared" si="33"/>
        <v>-0.94691754648185722</v>
      </c>
      <c r="AB60" s="441">
        <f t="shared" si="18"/>
        <v>7.2931416026379176E-2</v>
      </c>
      <c r="AC60" s="799" t="s">
        <v>363</v>
      </c>
      <c r="AD60" s="435">
        <f t="shared" si="34"/>
        <v>-1.8019604266600637</v>
      </c>
      <c r="AE60" s="441">
        <f t="shared" si="35"/>
        <v>-9.1874666303650709E-2</v>
      </c>
      <c r="AH60" s="54" t="s">
        <v>182</v>
      </c>
      <c r="AI60" s="510">
        <f>X83</f>
        <v>0</v>
      </c>
    </row>
    <row r="61" spans="1:35">
      <c r="A61" s="455">
        <v>2010</v>
      </c>
      <c r="B61" s="479">
        <f t="shared" si="21"/>
        <v>2014</v>
      </c>
      <c r="C61" s="515">
        <f>VLOOKUP($A61,'Brd Tbl'!$A$8:$AX$64,2)</f>
        <v>668242</v>
      </c>
      <c r="D61" s="458">
        <f>VLOOKUP($A61,'Brd Tbl'!$A$8:$AX$64,19)</f>
        <v>4.2029630824749462E-2</v>
      </c>
      <c r="E61" s="461">
        <v>48</v>
      </c>
      <c r="F61" s="461">
        <v>46</v>
      </c>
      <c r="G61" s="462">
        <v>-0.19766497624400148</v>
      </c>
      <c r="H61" s="462">
        <v>-1.2870355009222759E-6</v>
      </c>
      <c r="I61" s="463">
        <v>5.1020292429580394E-7</v>
      </c>
      <c r="J61" s="477">
        <v>-1.0577161534513051</v>
      </c>
      <c r="K61" s="461">
        <v>0.6456393046718234</v>
      </c>
      <c r="L61" s="461">
        <v>0.12152527312754002</v>
      </c>
      <c r="M61" s="462">
        <v>0.43193778506774066</v>
      </c>
      <c r="N61" s="458">
        <f t="shared" si="22"/>
        <v>1.0997457842760545</v>
      </c>
      <c r="O61" s="440">
        <f t="shared" si="23"/>
        <v>1.2094407900329542</v>
      </c>
      <c r="P61" s="465">
        <f t="shared" si="24"/>
        <v>-1.0577161534513051</v>
      </c>
      <c r="Q61" s="440">
        <f t="shared" si="19"/>
        <v>-1.9127590336295115</v>
      </c>
      <c r="R61" s="440">
        <f t="shared" si="25"/>
        <v>-0.20267327327309859</v>
      </c>
      <c r="S61" s="466">
        <f>EXP(D61)*C61-$E64</f>
        <v>696926.54247166798</v>
      </c>
      <c r="T61" s="440">
        <f t="shared" si="26"/>
        <v>485706605601.51361</v>
      </c>
      <c r="U61" s="466">
        <f t="shared" si="27"/>
        <v>232045.67561249988</v>
      </c>
      <c r="V61" s="467">
        <f t="shared" si="28"/>
        <v>98680.893856288007</v>
      </c>
      <c r="W61" s="467">
        <f t="shared" si="29"/>
        <v>545649.65381118178</v>
      </c>
      <c r="X61" s="468">
        <f t="shared" si="30"/>
        <v>-0.66704428448148367</v>
      </c>
      <c r="Y61" s="468">
        <f t="shared" si="31"/>
        <v>0.66704428448148367</v>
      </c>
      <c r="Z61" s="441">
        <f t="shared" si="32"/>
        <v>668242</v>
      </c>
      <c r="AA61" s="471">
        <f t="shared" si="33"/>
        <v>-1.0224578711203325</v>
      </c>
      <c r="AB61" s="441">
        <f>J$61</f>
        <v>-1.0577161534513051</v>
      </c>
      <c r="AC61" s="799" t="s">
        <v>476</v>
      </c>
      <c r="AD61" s="435">
        <f t="shared" si="34"/>
        <v>-1.8775007512985389</v>
      </c>
      <c r="AE61" s="441">
        <f t="shared" si="35"/>
        <v>-0.16741499094212597</v>
      </c>
      <c r="AH61" s="54"/>
      <c r="AI61" s="11"/>
    </row>
    <row r="62" spans="1:35">
      <c r="A62" s="134"/>
      <c r="C62" s="648"/>
      <c r="E62" s="15"/>
      <c r="F62" s="15"/>
      <c r="G62" s="146"/>
      <c r="H62" s="146"/>
      <c r="I62" s="15"/>
      <c r="J62" s="171"/>
      <c r="K62" s="15"/>
      <c r="L62" s="15"/>
      <c r="S62" s="97"/>
      <c r="U62" s="172"/>
      <c r="V62" s="2"/>
      <c r="W62" s="2"/>
      <c r="X62" s="169"/>
      <c r="Y62" s="169"/>
      <c r="Z62" s="132"/>
      <c r="AA62" s="170"/>
      <c r="AB62" s="47"/>
      <c r="AC62" s="800"/>
      <c r="AE62" s="47"/>
    </row>
    <row r="63" spans="1:35">
      <c r="A63" s="455">
        <v>2011</v>
      </c>
      <c r="B63" s="440">
        <f>A63+4</f>
        <v>2015</v>
      </c>
      <c r="C63" s="515">
        <f>VLOOKUP($A63,'Brd Tbl'!$A$8:$AX$64,2)</f>
        <v>759798</v>
      </c>
      <c r="E63" s="461">
        <v>49</v>
      </c>
      <c r="F63" s="461">
        <v>47</v>
      </c>
      <c r="G63" s="462">
        <v>-0.2247206225179128</v>
      </c>
      <c r="H63" s="462">
        <v>-1.1937849590454051E-6</v>
      </c>
      <c r="I63" s="463">
        <v>5.1682400702832343E-7</v>
      </c>
      <c r="J63" s="477">
        <v>-1.1317560468306935</v>
      </c>
      <c r="K63" s="461">
        <v>0.65794280910655178</v>
      </c>
      <c r="L63" s="461">
        <v>0.10194626373781795</v>
      </c>
      <c r="M63" s="462">
        <v>0.44780519333233687</v>
      </c>
      <c r="P63" s="436">
        <f>J63</f>
        <v>-1.1317560468306935</v>
      </c>
      <c r="Q63" s="465">
        <f>$P63-(SQRT(O66)*Q66)</f>
        <v>-2.0023624550540116</v>
      </c>
      <c r="R63" s="440">
        <f>$P63+SQRT(O66)*Q66</f>
        <v>-0.2611496386073755</v>
      </c>
      <c r="S63" s="466">
        <f>EXP(D63)*C63-$E$63</f>
        <v>759749</v>
      </c>
      <c r="T63" s="440">
        <f>S63^2</f>
        <v>577218543001</v>
      </c>
      <c r="U63" s="485">
        <f>EXP(P63)*C63</f>
        <v>245009.39620040869</v>
      </c>
      <c r="V63" s="899">
        <f>EXP(Q63)*C63</f>
        <v>102584.83896283247</v>
      </c>
      <c r="W63" s="899">
        <f>EXP(R63)*C63</f>
        <v>585170.33153639955</v>
      </c>
      <c r="X63" s="468"/>
      <c r="Y63" s="468"/>
      <c r="Z63" s="442">
        <f>C63</f>
        <v>759798</v>
      </c>
      <c r="AA63" s="471">
        <f>(+G63+H63*C63)</f>
        <v>-1.1317560468306935</v>
      </c>
      <c r="AB63" s="473"/>
      <c r="AC63" s="799" t="s">
        <v>477</v>
      </c>
      <c r="AD63" s="478">
        <f>AA63-SQRT(O66)*Q66</f>
        <v>-2.0023624550540116</v>
      </c>
      <c r="AE63" s="441">
        <f>AA63+SQRT(O66)*Q66</f>
        <v>-0.2611496386073755</v>
      </c>
      <c r="AF63" s="440">
        <f>AA63</f>
        <v>-1.1317560468306935</v>
      </c>
    </row>
    <row r="64" spans="1:35">
      <c r="A64" s="26"/>
      <c r="B64" s="42"/>
      <c r="C64" s="105"/>
      <c r="D64" s="173"/>
      <c r="E64" s="42"/>
      <c r="F64" s="42"/>
      <c r="G64" s="141"/>
      <c r="H64" s="42"/>
      <c r="I64" s="173"/>
      <c r="J64" s="141"/>
      <c r="K64" s="42"/>
      <c r="L64" s="42"/>
      <c r="M64" s="174"/>
      <c r="N64" s="42"/>
      <c r="O64" s="174"/>
      <c r="P64" s="141"/>
      <c r="Q64" s="42"/>
      <c r="R64" s="42"/>
      <c r="S64" s="42"/>
      <c r="T64" s="42"/>
      <c r="U64" s="105"/>
      <c r="V64" s="173"/>
      <c r="W64" s="42"/>
      <c r="X64" s="49"/>
      <c r="Y64" s="49"/>
      <c r="Z64" s="175"/>
      <c r="AA64" s="27"/>
      <c r="AB64" s="49"/>
      <c r="AC64" s="49"/>
      <c r="AD64" s="42"/>
      <c r="AE64" s="49"/>
    </row>
    <row r="65" spans="1:26">
      <c r="A65" s="23"/>
      <c r="E65" s="54" t="s">
        <v>184</v>
      </c>
      <c r="F65" s="440">
        <f>F61</f>
        <v>46</v>
      </c>
      <c r="G65" s="147" t="s">
        <v>183</v>
      </c>
      <c r="M65" s="218" t="s">
        <v>185</v>
      </c>
      <c r="O65" s="924">
        <f>AVERAGE(INDEX(O$13:O$62,COUNT(O$13:O$62)-1,0):INDEX(O$13:O$62,(COUNT(O$13:O$62)-(COUNT(O$13:O$62)-1)),0))</f>
        <v>0.43193778506774066</v>
      </c>
      <c r="P65" s="219" t="s">
        <v>186</v>
      </c>
      <c r="Q65" s="440">
        <f>VLOOKUP(F65,ttab!$A$4:$G$44,4)</f>
        <v>1.3009999999999999</v>
      </c>
      <c r="X65" s="47"/>
      <c r="Y65" s="227"/>
      <c r="Z65" s="176"/>
    </row>
    <row r="66" spans="1:26">
      <c r="A66" s="23"/>
      <c r="C66" s="2" t="s">
        <v>146</v>
      </c>
      <c r="D66" s="465">
        <f>AVERAGEA(D13:D62)</f>
        <v>-0.85840792476042171</v>
      </c>
      <c r="E66" s="54" t="s">
        <v>184</v>
      </c>
      <c r="F66" s="440">
        <f>F63</f>
        <v>47</v>
      </c>
      <c r="G66" s="147" t="s">
        <v>187</v>
      </c>
      <c r="M66" s="218" t="s">
        <v>188</v>
      </c>
      <c r="O66" s="458">
        <f>AVERAGEA(O13:O62)</f>
        <v>0.44780519333233687</v>
      </c>
      <c r="P66" s="219" t="s">
        <v>186</v>
      </c>
      <c r="Q66" s="440">
        <f>VLOOKUP(F66,ttab!$A$4:$G$44,4)</f>
        <v>1.3009999999999999</v>
      </c>
      <c r="S66" s="54" t="s">
        <v>189</v>
      </c>
      <c r="T66" s="440">
        <f>AVERAGEA(T13:T62)</f>
        <v>60219883351.91481</v>
      </c>
      <c r="W66" t="s">
        <v>190</v>
      </c>
      <c r="X66" s="486">
        <f>AVERAGEA(X13:X62)</f>
        <v>0.29786634207251256</v>
      </c>
      <c r="Y66" s="486">
        <f>AVERAGEA(Y13:Y62)</f>
        <v>0.67891279525777259</v>
      </c>
      <c r="Z66" s="176"/>
    </row>
    <row r="67" spans="1:26">
      <c r="A67" s="42"/>
      <c r="B67" s="42"/>
      <c r="C67" s="105"/>
      <c r="D67" s="173"/>
      <c r="E67" s="42"/>
      <c r="F67" s="42"/>
      <c r="G67" s="141"/>
      <c r="H67" s="42"/>
      <c r="I67" s="173"/>
      <c r="J67" s="141"/>
      <c r="K67" s="42"/>
      <c r="L67" s="42"/>
      <c r="M67" s="174"/>
      <c r="N67" s="42"/>
      <c r="O67" s="174"/>
      <c r="P67" s="141"/>
      <c r="Q67" s="42"/>
      <c r="R67" s="42"/>
      <c r="S67" s="42"/>
      <c r="T67" s="42"/>
      <c r="U67" s="105"/>
      <c r="V67" s="173"/>
      <c r="W67" s="42"/>
      <c r="X67" s="49"/>
      <c r="Y67" s="227"/>
    </row>
    <row r="68" spans="1:26">
      <c r="B68" t="s">
        <v>194</v>
      </c>
      <c r="C68"/>
      <c r="D68" t="s">
        <v>195</v>
      </c>
    </row>
    <row r="69" spans="1:26">
      <c r="A69" s="134">
        <v>1962</v>
      </c>
      <c r="B69" s="436">
        <f>('Brd Tbl'!P$62-'Brd Tbl'!P11)/'Brd Tbl'!P$62</f>
        <v>-0.14748066712177854</v>
      </c>
      <c r="C69"/>
      <c r="D69" s="436">
        <f t="shared" ref="D69:D98" si="37">(D13-D$66)/D$66</f>
        <v>0.63326342591241824</v>
      </c>
      <c r="M69" s="9" t="s">
        <v>191</v>
      </c>
    </row>
    <row r="70" spans="1:26">
      <c r="A70" s="134">
        <v>1963</v>
      </c>
      <c r="B70" s="436">
        <f>('Brd Tbl'!P$62-'Brd Tbl'!P12)/'Brd Tbl'!P$62</f>
        <v>-0.5250502062037401</v>
      </c>
      <c r="C70"/>
      <c r="D70" s="436">
        <f t="shared" si="37"/>
        <v>0.18981382728663898</v>
      </c>
    </row>
    <row r="71" spans="1:26">
      <c r="A71" s="134">
        <v>1964</v>
      </c>
      <c r="B71" s="436">
        <f>('Brd Tbl'!P$62-'Brd Tbl'!P13)/'Brd Tbl'!P$62</f>
        <v>-0.19263954674245137</v>
      </c>
      <c r="C71"/>
      <c r="D71" s="436">
        <f t="shared" si="37"/>
        <v>-1.2528821596208126</v>
      </c>
    </row>
    <row r="72" spans="1:26">
      <c r="A72" s="134">
        <v>1965</v>
      </c>
      <c r="B72" s="436">
        <f>('Brd Tbl'!P$62-'Brd Tbl'!P14)/'Brd Tbl'!P$62</f>
        <v>0.61586620617309551</v>
      </c>
      <c r="C72"/>
      <c r="D72" s="436">
        <f t="shared" si="37"/>
        <v>-1.03928964595615</v>
      </c>
      <c r="K72" s="54"/>
    </row>
    <row r="73" spans="1:26">
      <c r="A73" s="134">
        <v>1966</v>
      </c>
      <c r="B73" s="436">
        <f>('Brd Tbl'!P$62-'Brd Tbl'!P15)/'Brd Tbl'!P$62</f>
        <v>0.42419812653997019</v>
      </c>
      <c r="C73"/>
      <c r="D73" s="436">
        <f t="shared" si="37"/>
        <v>-0.74942157999610037</v>
      </c>
      <c r="K73" s="54"/>
    </row>
    <row r="74" spans="1:26">
      <c r="A74" s="134">
        <v>1967</v>
      </c>
      <c r="B74" s="436">
        <f>('Brd Tbl'!P$62-'Brd Tbl'!P16)/'Brd Tbl'!P$62</f>
        <v>0.5993178485441405</v>
      </c>
      <c r="C74"/>
      <c r="D74" s="436">
        <f t="shared" si="37"/>
        <v>-0.47663359381493003</v>
      </c>
      <c r="J74"/>
    </row>
    <row r="75" spans="1:26">
      <c r="A75" s="134">
        <v>1968</v>
      </c>
      <c r="B75" s="436">
        <f>('Brd Tbl'!P$62-'Brd Tbl'!P17)/'Brd Tbl'!P$62</f>
        <v>0.6687063645985688</v>
      </c>
      <c r="C75"/>
      <c r="D75" s="436">
        <f t="shared" si="37"/>
        <v>-0.44604330324123759</v>
      </c>
      <c r="J75"/>
    </row>
    <row r="76" spans="1:26">
      <c r="A76" s="134">
        <v>1969</v>
      </c>
      <c r="B76" s="436">
        <f>('Brd Tbl'!P$62-'Brd Tbl'!P18)/'Brd Tbl'!P$62</f>
        <v>0.80916433972039736</v>
      </c>
      <c r="C76"/>
      <c r="D76" s="436">
        <f t="shared" si="37"/>
        <v>0.92048570825571918</v>
      </c>
      <c r="J76"/>
    </row>
    <row r="77" spans="1:26">
      <c r="A77" s="134">
        <v>1970</v>
      </c>
      <c r="B77" s="436">
        <f>('Brd Tbl'!P$62-'Brd Tbl'!P19)/'Brd Tbl'!P$62</f>
        <v>0.44726292776751997</v>
      </c>
      <c r="C77"/>
      <c r="D77" s="436">
        <f t="shared" si="37"/>
        <v>0.59392319770707258</v>
      </c>
      <c r="K77" s="54"/>
    </row>
    <row r="78" spans="1:26">
      <c r="A78" s="178">
        <v>1971</v>
      </c>
      <c r="B78" s="436">
        <f>('Brd Tbl'!P$62-'Brd Tbl'!P20)/'Brd Tbl'!P$62</f>
        <v>0.88028232947853202</v>
      </c>
      <c r="C78"/>
      <c r="D78" s="436">
        <f t="shared" si="37"/>
        <v>1.9052098195300529</v>
      </c>
    </row>
    <row r="79" spans="1:26">
      <c r="A79" s="134">
        <v>1972</v>
      </c>
      <c r="B79" s="436">
        <f>('Brd Tbl'!P$62-'Brd Tbl'!P21)/'Brd Tbl'!P$62</f>
        <v>0.39034665685524922</v>
      </c>
      <c r="C79"/>
      <c r="D79" s="436">
        <f t="shared" si="37"/>
        <v>0.2467358803631394</v>
      </c>
    </row>
    <row r="80" spans="1:26">
      <c r="A80" s="134">
        <v>1973</v>
      </c>
      <c r="B80" s="436">
        <f>('Brd Tbl'!P$62-'Brd Tbl'!P22)/'Brd Tbl'!P$62</f>
        <v>0.72874752737913595</v>
      </c>
      <c r="C80"/>
      <c r="D80" s="436">
        <f t="shared" si="37"/>
        <v>2.0950610111594488</v>
      </c>
    </row>
    <row r="81" spans="1:4">
      <c r="A81" s="134">
        <v>1974</v>
      </c>
      <c r="B81" s="436">
        <f>('Brd Tbl'!P$62-'Brd Tbl'!P23)/'Brd Tbl'!P$62</f>
        <v>0.31433526747721297</v>
      </c>
      <c r="C81"/>
      <c r="D81" s="436">
        <f t="shared" si="37"/>
        <v>-0.64306323181326119</v>
      </c>
    </row>
    <row r="82" spans="1:4">
      <c r="A82" s="134">
        <v>1975</v>
      </c>
      <c r="B82" s="436">
        <f>('Brd Tbl'!P$62-'Brd Tbl'!P24)/'Brd Tbl'!P$62</f>
        <v>0.46656018082221024</v>
      </c>
      <c r="C82"/>
      <c r="D82" s="436">
        <f t="shared" si="37"/>
        <v>7.2703243957644534E-2</v>
      </c>
    </row>
    <row r="83" spans="1:4">
      <c r="A83" s="134">
        <v>1976</v>
      </c>
      <c r="B83" s="436">
        <f>('Brd Tbl'!P$62-'Brd Tbl'!P25)/'Brd Tbl'!P$62</f>
        <v>-0.42092068435920632</v>
      </c>
      <c r="C83"/>
      <c r="D83" s="436">
        <f t="shared" si="37"/>
        <v>-0.58293876472184403</v>
      </c>
    </row>
    <row r="84" spans="1:4">
      <c r="A84" s="134">
        <v>1977</v>
      </c>
      <c r="B84" s="436">
        <f>('Brd Tbl'!P$62-'Brd Tbl'!P26)/'Brd Tbl'!P$62</f>
        <v>-0.36766195702943449</v>
      </c>
      <c r="C84"/>
      <c r="D84" s="436">
        <f t="shared" si="37"/>
        <v>0.13189588271616826</v>
      </c>
    </row>
    <row r="85" spans="1:4">
      <c r="A85" s="134">
        <v>1978</v>
      </c>
      <c r="B85" s="436">
        <f>('Brd Tbl'!P$62-'Brd Tbl'!P27)/'Brd Tbl'!P$62</f>
        <v>0.19693950332418239</v>
      </c>
      <c r="C85"/>
      <c r="D85" s="436">
        <f t="shared" si="37"/>
        <v>-1.4998664163259161</v>
      </c>
    </row>
    <row r="86" spans="1:4">
      <c r="A86" s="134">
        <v>1979</v>
      </c>
      <c r="B86" s="436">
        <f>('Brd Tbl'!P$62-'Brd Tbl'!P28)/'Brd Tbl'!P$62</f>
        <v>0.37998335527298865</v>
      </c>
      <c r="C86"/>
      <c r="D86" s="436">
        <f t="shared" si="37"/>
        <v>-0.55498107227782223</v>
      </c>
    </row>
    <row r="87" spans="1:4">
      <c r="A87" s="134">
        <v>1980</v>
      </c>
      <c r="B87" s="436">
        <f>('Brd Tbl'!P$62-'Brd Tbl'!P29)/'Brd Tbl'!P$62</f>
        <v>-0.15332212598832831</v>
      </c>
      <c r="C87"/>
      <c r="D87" s="436">
        <f t="shared" si="37"/>
        <v>0.2776680333121751</v>
      </c>
    </row>
    <row r="88" spans="1:4">
      <c r="A88" s="134">
        <v>1981</v>
      </c>
      <c r="B88" s="436">
        <f>('Brd Tbl'!P$62-'Brd Tbl'!P30)/'Brd Tbl'!P$62</f>
        <v>0.55047324958821098</v>
      </c>
      <c r="C88"/>
      <c r="D88" s="436">
        <f t="shared" si="37"/>
        <v>0.86586705917499063</v>
      </c>
    </row>
    <row r="89" spans="1:4">
      <c r="A89" s="134">
        <v>1982</v>
      </c>
      <c r="B89" s="436">
        <f>('Brd Tbl'!P$62-'Brd Tbl'!P31)/'Brd Tbl'!P$62</f>
        <v>-0.16263272638493753</v>
      </c>
      <c r="C89"/>
      <c r="D89" s="436">
        <f t="shared" si="37"/>
        <v>-0.14398424149436231</v>
      </c>
    </row>
    <row r="90" spans="1:4">
      <c r="A90" s="134">
        <v>1983</v>
      </c>
      <c r="B90" s="436">
        <f>('Brd Tbl'!P$62-'Brd Tbl'!P32)/'Brd Tbl'!P$62</f>
        <v>4.9780613708709169E-2</v>
      </c>
      <c r="C90"/>
      <c r="D90" s="436">
        <f t="shared" si="37"/>
        <v>1.0984512296553213</v>
      </c>
    </row>
    <row r="91" spans="1:4">
      <c r="A91" s="134">
        <v>1984</v>
      </c>
      <c r="B91" s="436">
        <f>('Brd Tbl'!P$62-'Brd Tbl'!P33)/'Brd Tbl'!P$62</f>
        <v>-0.11970962472226872</v>
      </c>
      <c r="C91"/>
      <c r="D91" s="436">
        <f t="shared" si="37"/>
        <v>0.21726977819643814</v>
      </c>
    </row>
    <row r="92" spans="1:4">
      <c r="A92" s="134">
        <v>1985</v>
      </c>
      <c r="B92" s="436">
        <f>('Brd Tbl'!P$62-'Brd Tbl'!P34)/'Brd Tbl'!P$62</f>
        <v>9.2670995541621226E-2</v>
      </c>
      <c r="C92"/>
      <c r="D92" s="436">
        <f t="shared" si="37"/>
        <v>0.14640743431773962</v>
      </c>
    </row>
    <row r="93" spans="1:4">
      <c r="A93" s="134">
        <v>1986</v>
      </c>
      <c r="B93" s="436">
        <f>('Brd Tbl'!P$62-'Brd Tbl'!P35)/'Brd Tbl'!P$62</f>
        <v>6.0770121653813049E-2</v>
      </c>
      <c r="C93"/>
      <c r="D93" s="436">
        <f t="shared" si="37"/>
        <v>-0.31172322842950739</v>
      </c>
    </row>
    <row r="94" spans="1:4">
      <c r="A94" s="134">
        <v>1987</v>
      </c>
      <c r="B94" s="436">
        <f>('Brd Tbl'!P$62-'Brd Tbl'!P36)/'Brd Tbl'!P$62</f>
        <v>1.3577506465818529E-2</v>
      </c>
      <c r="C94"/>
      <c r="D94" s="436">
        <f t="shared" si="37"/>
        <v>-8.0858473309989937E-2</v>
      </c>
    </row>
    <row r="95" spans="1:4">
      <c r="A95" s="134">
        <v>1988</v>
      </c>
      <c r="B95" s="436">
        <f>('Brd Tbl'!P$62-'Brd Tbl'!P37)/'Brd Tbl'!P$62</f>
        <v>0.1681518616446207</v>
      </c>
      <c r="C95"/>
      <c r="D95" s="436">
        <f t="shared" si="37"/>
        <v>-0.14488116633697268</v>
      </c>
    </row>
    <row r="96" spans="1:4">
      <c r="A96" s="134">
        <v>1989</v>
      </c>
      <c r="B96" s="436">
        <f>('Brd Tbl'!P$62-'Brd Tbl'!P38)/'Brd Tbl'!P$62</f>
        <v>-0.75146825045710008</v>
      </c>
      <c r="C96"/>
      <c r="D96" s="436">
        <f t="shared" si="37"/>
        <v>-1.7074803961835864E-2</v>
      </c>
    </row>
    <row r="97" spans="1:4">
      <c r="A97" s="134">
        <v>1990</v>
      </c>
      <c r="B97" s="436">
        <f>('Brd Tbl'!P$62-'Brd Tbl'!P39)/'Brd Tbl'!P$62</f>
        <v>-0.99493857572118383</v>
      </c>
      <c r="C97"/>
      <c r="D97" s="436">
        <f t="shared" si="37"/>
        <v>0.25639892946739923</v>
      </c>
    </row>
    <row r="98" spans="1:4">
      <c r="A98" s="134">
        <v>1991</v>
      </c>
      <c r="B98" s="436">
        <f>('Brd Tbl'!P$62-'Brd Tbl'!P40)/'Brd Tbl'!P$62</f>
        <v>2.3288889247864826E-2</v>
      </c>
      <c r="C98"/>
      <c r="D98" s="436">
        <f t="shared" si="37"/>
        <v>-0.71364912736105879</v>
      </c>
    </row>
  </sheetData>
  <sortState ref="A13:AE61">
    <sortCondition ref="B13"/>
  </sortState>
  <dataConsolidate/>
  <phoneticPr fontId="60" type="noConversion"/>
  <pageMargins left="0.55000000000000004" right="0.50800000000000001" top="0.5" bottom="1" header="0.5" footer="0.5"/>
  <pageSetup scale="37" orientation="portrait" horizontalDpi="300" verticalDpi="300" r:id="rId1"/>
  <headerFooter alignWithMargins="0"/>
  <rowBreaks count="1" manualBreakCount="1">
    <brk id="91" max="16383" man="1"/>
  </rowBreaks>
  <drawing r:id="rId2"/>
  <legacyDrawing r:id="rId3"/>
  <controls>
    <mc:AlternateContent xmlns:mc="http://schemas.openxmlformats.org/markup-compatibility/2006">
      <mc:Choice Requires="x14">
        <control shapeId="5277" r:id="rId4" name="CommandButton1">
          <controlPr defaultSize="0" autoLine="0" r:id="rId5">
            <anchor moveWithCells="1">
              <from>
                <xdr:col>8</xdr:col>
                <xdr:colOff>723900</xdr:colOff>
                <xdr:row>2</xdr:row>
                <xdr:rowOff>142875</xdr:rowOff>
              </from>
              <to>
                <xdr:col>13</xdr:col>
                <xdr:colOff>133350</xdr:colOff>
                <xdr:row>6</xdr:row>
                <xdr:rowOff>171450</xdr:rowOff>
              </to>
            </anchor>
          </controlPr>
        </control>
      </mc:Choice>
      <mc:Fallback>
        <control shapeId="5277" r:id="rId4" name="CommandButton1"/>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9">
    <pageSetUpPr fitToPage="1"/>
  </sheetPr>
  <dimension ref="A1:AI1048"/>
  <sheetViews>
    <sheetView zoomScale="75" workbookViewId="0">
      <pane ySplit="11" topLeftCell="A39" activePane="bottomLeft" state="frozen"/>
      <selection activeCell="W48" sqref="W48"/>
      <selection pane="bottomLeft" activeCell="U60" sqref="U60"/>
    </sheetView>
  </sheetViews>
  <sheetFormatPr defaultColWidth="9.6640625" defaultRowHeight="15"/>
  <cols>
    <col min="1" max="2" width="6.6640625" customWidth="1"/>
    <col min="3" max="3" width="9.77734375" bestFit="1" customWidth="1"/>
    <col min="4" max="4" width="11.6640625" customWidth="1"/>
    <col min="5" max="5" width="5.88671875" customWidth="1"/>
    <col min="6" max="6" width="5" customWidth="1"/>
    <col min="7" max="7" width="10.33203125" customWidth="1"/>
    <col min="8" max="8" width="9.77734375" customWidth="1"/>
    <col min="9" max="9" width="12.77734375" bestFit="1" customWidth="1"/>
    <col min="10" max="12" width="7.6640625" customWidth="1"/>
    <col min="13" max="13" width="9.88671875" style="147" bestFit="1" customWidth="1"/>
    <col min="14" max="14" width="9.88671875" style="10" bestFit="1" customWidth="1"/>
    <col min="15" max="15" width="12.5546875" bestFit="1" customWidth="1"/>
    <col min="16" max="16" width="10.44140625" bestFit="1" customWidth="1"/>
    <col min="17" max="19" width="9.88671875" bestFit="1" customWidth="1"/>
    <col min="20" max="20" width="13.6640625" bestFit="1" customWidth="1"/>
    <col min="21" max="22" width="9.88671875" bestFit="1" customWidth="1"/>
    <col min="23" max="23" width="11" customWidth="1"/>
    <col min="24" max="24" width="11.21875" bestFit="1" customWidth="1"/>
    <col min="25" max="25" width="11.21875" customWidth="1"/>
    <col min="26" max="26" width="9.88671875" bestFit="1" customWidth="1"/>
    <col min="27" max="31" width="9.77734375" bestFit="1" customWidth="1"/>
  </cols>
  <sheetData>
    <row r="1" spans="1:33">
      <c r="A1" t="s">
        <v>0</v>
      </c>
      <c r="B1" s="440" t="str">
        <f ca="1">CELL("filename",B2)</f>
        <v>O:\DCF\SALMON\FORECAST\2015\[2015_Copper River Wild Sockeye forecast_FINAL.xlsm]ln12xln11</v>
      </c>
      <c r="G1" t="s">
        <v>196</v>
      </c>
    </row>
    <row r="2" spans="1:33">
      <c r="G2" s="148" t="s">
        <v>154</v>
      </c>
      <c r="H2" s="148" t="s">
        <v>197</v>
      </c>
    </row>
    <row r="3" spans="1:33">
      <c r="G3" s="148" t="s">
        <v>155</v>
      </c>
      <c r="H3" s="148" t="s">
        <v>198</v>
      </c>
    </row>
    <row r="4" spans="1:33">
      <c r="G4" s="54" t="s">
        <v>252</v>
      </c>
      <c r="H4" s="13">
        <v>4</v>
      </c>
    </row>
    <row r="5" spans="1:33">
      <c r="B5" s="13"/>
    </row>
    <row r="6" spans="1:33">
      <c r="B6" s="13"/>
    </row>
    <row r="8" spans="1:33">
      <c r="AA8" t="s">
        <v>156</v>
      </c>
    </row>
    <row r="9" spans="1:33">
      <c r="A9" s="123"/>
      <c r="B9" s="123"/>
      <c r="C9" s="150" t="s">
        <v>157</v>
      </c>
      <c r="D9" s="151"/>
      <c r="E9" s="121"/>
      <c r="F9" s="119"/>
      <c r="G9" s="152"/>
      <c r="H9" s="153" t="s">
        <v>158</v>
      </c>
      <c r="I9" s="154"/>
      <c r="J9" s="152"/>
      <c r="K9" s="119"/>
      <c r="L9" s="119"/>
      <c r="M9" s="155"/>
      <c r="N9" s="121" t="s">
        <v>159</v>
      </c>
      <c r="O9" s="156"/>
      <c r="P9" s="152"/>
      <c r="Q9" s="119"/>
      <c r="R9" s="126"/>
      <c r="S9" s="121" t="s">
        <v>160</v>
      </c>
      <c r="T9" s="119"/>
      <c r="U9" s="157"/>
      <c r="V9" s="154"/>
      <c r="W9" s="126"/>
      <c r="X9" s="122" t="s">
        <v>109</v>
      </c>
      <c r="Y9" s="415" t="s">
        <v>329</v>
      </c>
      <c r="Z9" s="164" t="s">
        <v>161</v>
      </c>
      <c r="AA9" s="164" t="s">
        <v>162</v>
      </c>
      <c r="AB9" s="164" t="s">
        <v>163</v>
      </c>
      <c r="AC9" s="164" t="s">
        <v>164</v>
      </c>
      <c r="AD9" s="158" t="s">
        <v>25</v>
      </c>
      <c r="AE9" s="159"/>
    </row>
    <row r="10" spans="1:33">
      <c r="A10" s="100" t="s">
        <v>23</v>
      </c>
      <c r="B10" s="139" t="s">
        <v>29</v>
      </c>
      <c r="C10" s="206" t="s">
        <v>165</v>
      </c>
      <c r="D10" s="207" t="s">
        <v>166</v>
      </c>
      <c r="E10" s="123"/>
      <c r="F10" s="123"/>
      <c r="G10" s="133"/>
      <c r="H10" s="160"/>
      <c r="I10" s="208" t="s">
        <v>167</v>
      </c>
      <c r="J10" s="207" t="s">
        <v>168</v>
      </c>
      <c r="K10" s="209" t="s">
        <v>167</v>
      </c>
      <c r="L10" s="123"/>
      <c r="M10" s="210" t="s">
        <v>169</v>
      </c>
      <c r="N10" s="123"/>
      <c r="O10" s="161"/>
      <c r="P10" s="211" t="s">
        <v>24</v>
      </c>
      <c r="Q10" s="122" t="s">
        <v>170</v>
      </c>
      <c r="R10" s="122" t="s">
        <v>171</v>
      </c>
      <c r="S10" s="123"/>
      <c r="T10" s="123"/>
      <c r="U10" s="212" t="s">
        <v>24</v>
      </c>
      <c r="V10" s="213" t="s">
        <v>170</v>
      </c>
      <c r="W10" s="122" t="s">
        <v>171</v>
      </c>
      <c r="X10" s="100" t="s">
        <v>115</v>
      </c>
      <c r="Y10" s="416" t="s">
        <v>323</v>
      </c>
      <c r="Z10" s="139"/>
      <c r="AA10" s="122" t="s">
        <v>172</v>
      </c>
      <c r="AB10" s="122" t="s">
        <v>112</v>
      </c>
      <c r="AC10" s="122" t="s">
        <v>29</v>
      </c>
      <c r="AD10" s="164" t="s">
        <v>173</v>
      </c>
      <c r="AE10" s="164" t="s">
        <v>174</v>
      </c>
      <c r="AG10" t="s">
        <v>199</v>
      </c>
    </row>
    <row r="11" spans="1:33" ht="16.899999999999999" customHeight="1">
      <c r="A11" s="125" t="s">
        <v>27</v>
      </c>
      <c r="B11" s="27" t="s">
        <v>27</v>
      </c>
      <c r="C11" s="163" t="s">
        <v>161</v>
      </c>
      <c r="D11" s="214" t="s">
        <v>240</v>
      </c>
      <c r="E11" s="188" t="s">
        <v>175</v>
      </c>
      <c r="F11" s="188" t="s">
        <v>176</v>
      </c>
      <c r="G11" s="214" t="s">
        <v>152</v>
      </c>
      <c r="H11" s="215" t="s">
        <v>177</v>
      </c>
      <c r="I11" s="216" t="s">
        <v>177</v>
      </c>
      <c r="J11" s="214" t="s">
        <v>239</v>
      </c>
      <c r="K11" s="188" t="s">
        <v>168</v>
      </c>
      <c r="L11" s="188" t="s">
        <v>241</v>
      </c>
      <c r="M11" s="217" t="s">
        <v>178</v>
      </c>
      <c r="N11" s="188" t="s">
        <v>242</v>
      </c>
      <c r="O11" s="217" t="s">
        <v>243</v>
      </c>
      <c r="P11" s="214" t="s">
        <v>239</v>
      </c>
      <c r="Q11" s="188" t="s">
        <v>244</v>
      </c>
      <c r="R11" s="188" t="s">
        <v>244</v>
      </c>
      <c r="S11" s="188" t="s">
        <v>242</v>
      </c>
      <c r="T11" s="217" t="s">
        <v>243</v>
      </c>
      <c r="U11" s="214" t="s">
        <v>239</v>
      </c>
      <c r="V11" s="188" t="s">
        <v>244</v>
      </c>
      <c r="W11" s="188" t="s">
        <v>244</v>
      </c>
      <c r="X11" s="234" t="s">
        <v>245</v>
      </c>
      <c r="Y11" s="555" t="s">
        <v>115</v>
      </c>
      <c r="Z11" s="125" t="s">
        <v>200</v>
      </c>
      <c r="AA11" s="125" t="s">
        <v>179</v>
      </c>
      <c r="AB11" s="125" t="s">
        <v>179</v>
      </c>
      <c r="AC11" s="125" t="s">
        <v>27</v>
      </c>
      <c r="AD11" s="164" t="s">
        <v>170</v>
      </c>
      <c r="AE11" s="164" t="s">
        <v>171</v>
      </c>
      <c r="AF11" s="164" t="s">
        <v>111</v>
      </c>
      <c r="AG11" t="s">
        <v>201</v>
      </c>
    </row>
    <row r="12" spans="1:33">
      <c r="A12" s="36"/>
      <c r="B12" s="31"/>
      <c r="C12" s="31"/>
      <c r="D12" s="31"/>
      <c r="E12" s="31"/>
      <c r="F12" s="31"/>
      <c r="G12" s="31"/>
      <c r="H12" s="31"/>
      <c r="I12" s="31"/>
      <c r="J12" s="31"/>
      <c r="K12" s="31"/>
      <c r="L12" s="31"/>
      <c r="M12" s="166"/>
      <c r="N12" s="145"/>
      <c r="O12" s="31"/>
      <c r="P12" s="31"/>
      <c r="Q12" s="31"/>
      <c r="R12" s="31"/>
      <c r="S12" s="31"/>
      <c r="T12" s="31"/>
      <c r="U12" s="31"/>
      <c r="V12" s="31"/>
      <c r="W12" s="31"/>
      <c r="X12" s="46"/>
      <c r="Y12" s="46"/>
      <c r="Z12" s="123"/>
      <c r="AA12" s="123"/>
      <c r="AB12" s="123"/>
      <c r="AC12" s="123"/>
      <c r="AD12" s="36"/>
      <c r="AE12" s="46"/>
    </row>
    <row r="13" spans="1:33">
      <c r="A13" s="455">
        <v>1965</v>
      </c>
      <c r="B13" s="440">
        <f t="shared" ref="B13:B58" si="0">A13+$H$4</f>
        <v>1969</v>
      </c>
      <c r="C13" s="480">
        <f>VLOOKUP($A13,'Brd Tbl'!$A$8:$AX$64,6)</f>
        <v>7.3798360922232167</v>
      </c>
      <c r="D13" s="458">
        <f>VLOOKUP($A13,'Brd Tbl'!$A$8:$AX$64,17)</f>
        <v>12.864569076480791</v>
      </c>
      <c r="E13" s="461">
        <v>45</v>
      </c>
      <c r="F13" s="461">
        <v>43</v>
      </c>
      <c r="G13" s="462">
        <v>11.44490287534301</v>
      </c>
      <c r="H13" s="462">
        <v>9.0248705883443359E-2</v>
      </c>
      <c r="I13" s="463">
        <v>6.8941284299976924E-2</v>
      </c>
      <c r="J13" s="461">
        <v>12.110923532298083</v>
      </c>
      <c r="K13" s="461">
        <v>0.68596297837148745</v>
      </c>
      <c r="L13" s="461">
        <v>3.8325079267364122E-2</v>
      </c>
      <c r="M13" s="462">
        <v>0.49718236171169994</v>
      </c>
      <c r="N13" s="458">
        <f t="shared" ref="N13:N58" si="1">D13-J13</f>
        <v>0.75364554418270835</v>
      </c>
      <c r="O13" s="440">
        <f t="shared" ref="O13:O58" si="2">N13^2</f>
        <v>0.56798160626645056</v>
      </c>
      <c r="P13" s="465">
        <f t="shared" ref="P13:P58" si="3">J13</f>
        <v>12.110923532298083</v>
      </c>
      <c r="Q13" s="440">
        <f t="shared" ref="Q13:Q36" si="4">$P13-SQRT($O$62)*$Q$62</f>
        <v>11.219416303971446</v>
      </c>
      <c r="R13" s="440">
        <f t="shared" ref="R13:R58" si="5">$P13+SQRT($O$62)*$Q$62</f>
        <v>13.002430760624719</v>
      </c>
      <c r="S13" s="466">
        <f>EXP(D13)-U13</f>
        <v>204529.61628139237</v>
      </c>
      <c r="T13" s="440">
        <f t="shared" ref="T13:T58" si="6">S13^2</f>
        <v>41832363936.213608</v>
      </c>
      <c r="U13" s="466">
        <f t="shared" ref="U13:U58" si="7">EXP(P13)</f>
        <v>181847.46900802737</v>
      </c>
      <c r="V13" s="467">
        <f t="shared" ref="V13:V58" si="8">EXP(Q13)</f>
        <v>74564.239200376629</v>
      </c>
      <c r="W13" s="467">
        <f t="shared" ref="W13:W58" si="9">EXP(R13)</f>
        <v>443490.10114299459</v>
      </c>
      <c r="X13" s="468">
        <f t="shared" ref="X13:X58" si="10">(+U13-EXP(D13))/(EXP(D13))</f>
        <v>-0.52935234533431852</v>
      </c>
      <c r="Y13" s="468">
        <f t="shared" ref="Y13:Y58" si="11">ABS(X13)</f>
        <v>0.52935234533431852</v>
      </c>
      <c r="Z13" s="441">
        <f t="shared" ref="Z13:Z58" si="12">C13</f>
        <v>7.3798360922232167</v>
      </c>
      <c r="AA13" s="471">
        <f t="shared" ref="AA13:AA58" si="13">(+G$60+H$60*C13)</f>
        <v>12.14613064029062</v>
      </c>
      <c r="AB13" s="441">
        <f t="shared" ref="AB13:AB58" si="14">D13</f>
        <v>12.864569076480791</v>
      </c>
      <c r="AC13" s="802">
        <f t="shared" ref="AC13:AC43" si="15">B13-1900</f>
        <v>69</v>
      </c>
      <c r="AD13" s="435">
        <f t="shared" ref="AD13:AD58" si="16">AA13-SQRT($O$62)*$Q$62</f>
        <v>11.254623411963983</v>
      </c>
      <c r="AE13" s="441">
        <f t="shared" ref="AE13:AE58" si="17">AA13+SQRT($O$62)*$Q$62</f>
        <v>13.037637868617256</v>
      </c>
      <c r="AF13" s="440"/>
      <c r="AG13" s="440"/>
    </row>
    <row r="14" spans="1:33">
      <c r="A14" s="455">
        <v>1966</v>
      </c>
      <c r="B14" s="440">
        <f t="shared" si="0"/>
        <v>1970</v>
      </c>
      <c r="C14" s="480">
        <f>VLOOKUP($A14,'Brd Tbl'!$A$8:$AX$64,6)</f>
        <v>4.2036292731298142</v>
      </c>
      <c r="D14" s="458">
        <f>VLOOKUP($A14,'Brd Tbl'!$A$8:$AX$64,17)</f>
        <v>12.618710702125638</v>
      </c>
      <c r="E14" s="461">
        <v>45</v>
      </c>
      <c r="F14" s="461">
        <v>43</v>
      </c>
      <c r="G14" s="462">
        <v>11.143562529236764</v>
      </c>
      <c r="H14" s="462">
        <v>0.12334060428866364</v>
      </c>
      <c r="I14" s="463">
        <v>7.7212863854530661E-2</v>
      </c>
      <c r="J14" s="461">
        <v>11.662040703990112</v>
      </c>
      <c r="K14" s="461">
        <v>0.68343296646062857</v>
      </c>
      <c r="L14" s="461">
        <v>5.601805847914211E-2</v>
      </c>
      <c r="M14" s="462">
        <v>0.48946600884356262</v>
      </c>
      <c r="N14" s="458">
        <f t="shared" si="1"/>
        <v>0.956669998135526</v>
      </c>
      <c r="O14" s="440">
        <f t="shared" si="2"/>
        <v>0.91521748533262737</v>
      </c>
      <c r="P14" s="465">
        <f t="shared" si="3"/>
        <v>11.662040703990112</v>
      </c>
      <c r="Q14" s="440">
        <f t="shared" si="4"/>
        <v>10.770533475663475</v>
      </c>
      <c r="R14" s="440">
        <f t="shared" si="5"/>
        <v>12.553547932316748</v>
      </c>
      <c r="S14" s="466">
        <f>EXP(D14)-U14</f>
        <v>186078.9455372697</v>
      </c>
      <c r="T14" s="440">
        <f t="shared" si="6"/>
        <v>34625373972.262184</v>
      </c>
      <c r="U14" s="466">
        <f t="shared" si="7"/>
        <v>116080.67517339501</v>
      </c>
      <c r="V14" s="467">
        <f t="shared" si="8"/>
        <v>47597.402797990908</v>
      </c>
      <c r="W14" s="467">
        <f t="shared" si="9"/>
        <v>283097.86577850871</v>
      </c>
      <c r="X14" s="468">
        <f t="shared" si="10"/>
        <v>-0.61582995470943824</v>
      </c>
      <c r="Y14" s="468">
        <f t="shared" si="11"/>
        <v>0.61582995470943824</v>
      </c>
      <c r="Z14" s="441">
        <f t="shared" si="12"/>
        <v>4.2036292731298142</v>
      </c>
      <c r="AA14" s="471">
        <f t="shared" si="13"/>
        <v>11.897014387045706</v>
      </c>
      <c r="AB14" s="441">
        <f t="shared" si="14"/>
        <v>12.618710702125638</v>
      </c>
      <c r="AC14" s="802">
        <f t="shared" si="15"/>
        <v>70</v>
      </c>
      <c r="AD14" s="435">
        <f t="shared" si="16"/>
        <v>11.00550715871907</v>
      </c>
      <c r="AE14" s="441">
        <f t="shared" si="17"/>
        <v>12.788521615372343</v>
      </c>
      <c r="AF14" s="440"/>
      <c r="AG14" s="440"/>
    </row>
    <row r="15" spans="1:33">
      <c r="A15" s="455">
        <v>1967</v>
      </c>
      <c r="B15" s="440">
        <f t="shared" si="0"/>
        <v>1971</v>
      </c>
      <c r="C15" s="480">
        <f>VLOOKUP($A15,'Brd Tbl'!$A$8:$AX$64,6)</f>
        <v>7.4317194294202729</v>
      </c>
      <c r="D15" s="458">
        <f>VLOOKUP($A15,'Brd Tbl'!$A$8:$AX$64,17)</f>
        <v>11.485777379207695</v>
      </c>
      <c r="E15" s="461">
        <v>45</v>
      </c>
      <c r="F15" s="461">
        <v>43</v>
      </c>
      <c r="G15" s="462">
        <v>11.677146042644674</v>
      </c>
      <c r="H15" s="462">
        <v>6.7877393280026246E-2</v>
      </c>
      <c r="I15" s="463">
        <v>6.9018053515817454E-2</v>
      </c>
      <c r="J15" s="461">
        <v>12.181591785102245</v>
      </c>
      <c r="K15" s="461">
        <v>0.6873030721404233</v>
      </c>
      <c r="L15" s="461">
        <v>2.1998643358284727E-2</v>
      </c>
      <c r="M15" s="462">
        <v>0.49904511546316799</v>
      </c>
      <c r="N15" s="458">
        <f t="shared" si="1"/>
        <v>-0.69581440589455035</v>
      </c>
      <c r="O15" s="440">
        <f t="shared" si="2"/>
        <v>0.48415768745038607</v>
      </c>
      <c r="P15" s="465">
        <f t="shared" si="3"/>
        <v>12.181591785102245</v>
      </c>
      <c r="Q15" s="440">
        <f t="shared" si="4"/>
        <v>11.290084556775609</v>
      </c>
      <c r="R15" s="440">
        <f t="shared" si="5"/>
        <v>13.073099013428882</v>
      </c>
      <c r="S15" s="466">
        <f>EXP(D15)-U15</f>
        <v>-97841.561963991408</v>
      </c>
      <c r="T15" s="440">
        <f t="shared" si="6"/>
        <v>9572971247.5535698</v>
      </c>
      <c r="U15" s="466">
        <f t="shared" si="7"/>
        <v>195163.27308946633</v>
      </c>
      <c r="V15" s="467">
        <f t="shared" si="8"/>
        <v>80024.215113651167</v>
      </c>
      <c r="W15" s="467">
        <f t="shared" si="9"/>
        <v>475964.72028997308</v>
      </c>
      <c r="X15" s="468">
        <f t="shared" si="10"/>
        <v>1.0053415710893765</v>
      </c>
      <c r="Y15" s="468">
        <f t="shared" si="11"/>
        <v>1.0053415710893765</v>
      </c>
      <c r="Z15" s="441">
        <f t="shared" si="12"/>
        <v>7.4317194294202729</v>
      </c>
      <c r="AA15" s="471">
        <f t="shared" si="13"/>
        <v>12.150199954193818</v>
      </c>
      <c r="AB15" s="441">
        <f t="shared" si="14"/>
        <v>11.485777379207695</v>
      </c>
      <c r="AC15" s="802">
        <f t="shared" si="15"/>
        <v>71</v>
      </c>
      <c r="AD15" s="435">
        <f t="shared" si="16"/>
        <v>11.258692725867181</v>
      </c>
      <c r="AE15" s="441">
        <f t="shared" si="17"/>
        <v>13.041707182520454</v>
      </c>
      <c r="AF15" s="440"/>
      <c r="AG15" s="440"/>
    </row>
    <row r="16" spans="1:33">
      <c r="A16" s="455">
        <v>1968</v>
      </c>
      <c r="B16" s="440">
        <f t="shared" si="0"/>
        <v>1972</v>
      </c>
      <c r="C16" s="480">
        <f>VLOOKUP($A16,'Brd Tbl'!$A$8:$AX$64,6)</f>
        <v>7.6639367951832256</v>
      </c>
      <c r="D16" s="458">
        <f>VLOOKUP($A16,'Brd Tbl'!$A$8:$AX$64,17)</f>
        <v>11.890550097717687</v>
      </c>
      <c r="E16" s="461">
        <v>45</v>
      </c>
      <c r="F16" s="461">
        <v>43</v>
      </c>
      <c r="G16" s="462">
        <v>11.607008043683107</v>
      </c>
      <c r="H16" s="462">
        <v>7.4708558393996843E-2</v>
      </c>
      <c r="I16" s="463">
        <v>6.9427611490852539E-2</v>
      </c>
      <c r="J16" s="461">
        <v>12.179569713273954</v>
      </c>
      <c r="K16" s="461">
        <v>0.69373582470244644</v>
      </c>
      <c r="L16" s="461">
        <v>2.6222114838584318E-2</v>
      </c>
      <c r="M16" s="462">
        <v>0.50794790100259224</v>
      </c>
      <c r="N16" s="458">
        <f t="shared" si="1"/>
        <v>-0.28901961555626698</v>
      </c>
      <c r="O16" s="440">
        <f t="shared" si="2"/>
        <v>8.3532338176292367E-2</v>
      </c>
      <c r="P16" s="465">
        <f t="shared" si="3"/>
        <v>12.179569713273954</v>
      </c>
      <c r="Q16" s="440">
        <f t="shared" si="4"/>
        <v>11.288062484947318</v>
      </c>
      <c r="R16" s="440">
        <f t="shared" si="5"/>
        <v>13.071076941600591</v>
      </c>
      <c r="S16" s="466">
        <f>EXP(D16)-E58</f>
        <v>145836.52486171445</v>
      </c>
      <c r="T16" s="440">
        <f t="shared" si="6"/>
        <v>21268291983.741459</v>
      </c>
      <c r="U16" s="466">
        <f t="shared" si="7"/>
        <v>194769.03765354771</v>
      </c>
      <c r="V16" s="467">
        <f t="shared" si="8"/>
        <v>79862.563892958045</v>
      </c>
      <c r="W16" s="467">
        <f t="shared" si="9"/>
        <v>475003.25783848308</v>
      </c>
      <c r="X16" s="468">
        <f t="shared" si="10"/>
        <v>0.33511791735228447</v>
      </c>
      <c r="Y16" s="468">
        <f t="shared" si="11"/>
        <v>0.33511791735228447</v>
      </c>
      <c r="Z16" s="441">
        <f t="shared" si="12"/>
        <v>7.6639367951832256</v>
      </c>
      <c r="AA16" s="471">
        <f t="shared" si="13"/>
        <v>12.168413226626054</v>
      </c>
      <c r="AB16" s="441">
        <f t="shared" si="14"/>
        <v>11.890550097717687</v>
      </c>
      <c r="AC16" s="802">
        <f t="shared" si="15"/>
        <v>72</v>
      </c>
      <c r="AD16" s="435">
        <f t="shared" si="16"/>
        <v>11.276905998299418</v>
      </c>
      <c r="AE16" s="441">
        <f t="shared" si="17"/>
        <v>13.059920454952691</v>
      </c>
      <c r="AF16" s="440"/>
      <c r="AG16" s="440"/>
    </row>
    <row r="17" spans="1:33">
      <c r="A17" s="455">
        <v>1969</v>
      </c>
      <c r="B17" s="440">
        <f t="shared" si="0"/>
        <v>1973</v>
      </c>
      <c r="C17" s="480">
        <f>VLOOKUP($A17,'Brd Tbl'!$A$8:$AX$64,6)</f>
        <v>7.6027317587172334</v>
      </c>
      <c r="D17" s="458">
        <f>VLOOKUP($A17,'Brd Tbl'!$A$8:$AX$64,17)</f>
        <v>11.527954939121013</v>
      </c>
      <c r="E17" s="461">
        <v>45</v>
      </c>
      <c r="F17" s="461">
        <v>43</v>
      </c>
      <c r="G17" s="462">
        <v>11.661851707877197</v>
      </c>
      <c r="H17" s="462">
        <v>6.9500698829394345E-2</v>
      </c>
      <c r="I17" s="463">
        <v>6.8911630924486128E-2</v>
      </c>
      <c r="J17" s="461">
        <v>12.190246878120476</v>
      </c>
      <c r="K17" s="461">
        <v>0.68800183856606723</v>
      </c>
      <c r="L17" s="461">
        <v>2.3108469092541363E-2</v>
      </c>
      <c r="M17" s="462">
        <v>0.50005682824065056</v>
      </c>
      <c r="N17" s="458">
        <f t="shared" si="1"/>
        <v>-0.66229193899946281</v>
      </c>
      <c r="O17" s="440">
        <f t="shared" si="2"/>
        <v>0.43863061246366819</v>
      </c>
      <c r="P17" s="465">
        <f t="shared" si="3"/>
        <v>12.190246878120476</v>
      </c>
      <c r="Q17" s="440">
        <f t="shared" si="4"/>
        <v>11.298739649793839</v>
      </c>
      <c r="R17" s="440">
        <f t="shared" si="5"/>
        <v>13.081754106447113</v>
      </c>
      <c r="S17" s="466">
        <f>EXP(D17)-$E17</f>
        <v>101469.29846521807</v>
      </c>
      <c r="T17" s="440">
        <f t="shared" si="6"/>
        <v>10296018531.023508</v>
      </c>
      <c r="U17" s="466">
        <f t="shared" si="7"/>
        <v>196859.76040917751</v>
      </c>
      <c r="V17" s="467">
        <f t="shared" si="8"/>
        <v>80719.838137701969</v>
      </c>
      <c r="W17" s="467">
        <f t="shared" si="9"/>
        <v>480102.11817134422</v>
      </c>
      <c r="X17" s="468">
        <f t="shared" si="10"/>
        <v>0.93923184601061627</v>
      </c>
      <c r="Y17" s="468">
        <f t="shared" si="11"/>
        <v>0.93923184601061627</v>
      </c>
      <c r="Z17" s="441">
        <f t="shared" si="12"/>
        <v>7.6027317587172334</v>
      </c>
      <c r="AA17" s="471">
        <f t="shared" si="13"/>
        <v>12.163612793205765</v>
      </c>
      <c r="AB17" s="441">
        <f t="shared" si="14"/>
        <v>11.527954939121013</v>
      </c>
      <c r="AC17" s="802">
        <f t="shared" si="15"/>
        <v>73</v>
      </c>
      <c r="AD17" s="435">
        <f t="shared" si="16"/>
        <v>11.272105564879128</v>
      </c>
      <c r="AE17" s="441">
        <f t="shared" si="17"/>
        <v>13.055120021532401</v>
      </c>
      <c r="AF17" s="440"/>
      <c r="AG17" s="440"/>
    </row>
    <row r="18" spans="1:33">
      <c r="A18" s="455">
        <v>1970</v>
      </c>
      <c r="B18" s="440">
        <f t="shared" si="0"/>
        <v>1974</v>
      </c>
      <c r="C18" s="480">
        <f>VLOOKUP($A18,'Brd Tbl'!$A$8:$AX$64,6)</f>
        <v>10.094320373460834</v>
      </c>
      <c r="D18" s="458">
        <f>VLOOKUP($A18,'Brd Tbl'!$A$8:$AX$64,17)</f>
        <v>11.337791564019003</v>
      </c>
      <c r="E18" s="461">
        <v>45</v>
      </c>
      <c r="F18" s="461">
        <v>43</v>
      </c>
      <c r="G18" s="462">
        <v>11.485571312561273</v>
      </c>
      <c r="H18" s="462">
        <v>9.010385834026062E-2</v>
      </c>
      <c r="I18" s="463">
        <v>6.7573018117306982E-2</v>
      </c>
      <c r="J18" s="461">
        <v>12.395108525532795</v>
      </c>
      <c r="K18" s="461">
        <v>0.67677614535351238</v>
      </c>
      <c r="L18" s="461">
        <v>3.9707735270519996E-2</v>
      </c>
      <c r="M18" s="462">
        <v>0.4849615272486264</v>
      </c>
      <c r="N18" s="458">
        <f t="shared" si="1"/>
        <v>-1.0573169615137914</v>
      </c>
      <c r="O18" s="440">
        <f t="shared" si="2"/>
        <v>1.1179191571047562</v>
      </c>
      <c r="P18" s="465">
        <f t="shared" si="3"/>
        <v>12.395108525532795</v>
      </c>
      <c r="Q18" s="440">
        <f t="shared" si="4"/>
        <v>11.503601297206158</v>
      </c>
      <c r="R18" s="440">
        <f t="shared" si="5"/>
        <v>13.286615753859431</v>
      </c>
      <c r="S18" s="466">
        <f t="shared" ref="S18:S36" si="18">EXP(D18)-U18</f>
        <v>-157682.39713453205</v>
      </c>
      <c r="T18" s="440">
        <f t="shared" si="6"/>
        <v>24863738366.092281</v>
      </c>
      <c r="U18" s="466">
        <f t="shared" si="7"/>
        <v>241616.85955461059</v>
      </c>
      <c r="V18" s="467">
        <f t="shared" si="8"/>
        <v>99071.91674951771</v>
      </c>
      <c r="W18" s="467">
        <f t="shared" si="9"/>
        <v>589255.8530852953</v>
      </c>
      <c r="X18" s="468">
        <f t="shared" si="10"/>
        <v>1.878637124586048</v>
      </c>
      <c r="Y18" s="468">
        <f t="shared" si="11"/>
        <v>1.878637124586048</v>
      </c>
      <c r="Z18" s="441">
        <f t="shared" si="12"/>
        <v>10.094320373460834</v>
      </c>
      <c r="AA18" s="471">
        <f t="shared" si="13"/>
        <v>12.359033071445007</v>
      </c>
      <c r="AB18" s="441">
        <f t="shared" si="14"/>
        <v>11.337791564019003</v>
      </c>
      <c r="AC18" s="802">
        <f t="shared" si="15"/>
        <v>74</v>
      </c>
      <c r="AD18" s="435">
        <f t="shared" si="16"/>
        <v>11.46752584311837</v>
      </c>
      <c r="AE18" s="441">
        <f t="shared" si="17"/>
        <v>13.250540299771643</v>
      </c>
      <c r="AF18" s="440"/>
      <c r="AG18" s="440"/>
    </row>
    <row r="19" spans="1:33">
      <c r="A19" s="455">
        <v>1971</v>
      </c>
      <c r="B19" s="440">
        <f t="shared" si="0"/>
        <v>1975</v>
      </c>
      <c r="C19" s="480">
        <f>VLOOKUP($A19,'Brd Tbl'!$A$8:$AX$64,6)</f>
        <v>7.183103439062938</v>
      </c>
      <c r="D19" s="458">
        <f>VLOOKUP($A19,'Brd Tbl'!$A$8:$AX$64,17)</f>
        <v>10.786199106171235</v>
      </c>
      <c r="E19" s="461">
        <v>45</v>
      </c>
      <c r="F19" s="461">
        <v>43</v>
      </c>
      <c r="G19" s="462">
        <v>11.822660990322454</v>
      </c>
      <c r="H19" s="462">
        <v>5.3414942067632872E-2</v>
      </c>
      <c r="I19" s="463">
        <v>6.6799909535268653E-2</v>
      </c>
      <c r="J19" s="461">
        <v>12.206346044385816</v>
      </c>
      <c r="K19" s="461">
        <v>0.66236893942602815</v>
      </c>
      <c r="L19" s="461">
        <v>1.4651935129695487E-2</v>
      </c>
      <c r="M19" s="462">
        <v>0.46498601238161541</v>
      </c>
      <c r="N19" s="458">
        <f t="shared" si="1"/>
        <v>-1.4201469382145806</v>
      </c>
      <c r="O19" s="440">
        <f t="shared" si="2"/>
        <v>2.0168173261202478</v>
      </c>
      <c r="P19" s="465">
        <f t="shared" si="3"/>
        <v>12.206346044385816</v>
      </c>
      <c r="Q19" s="440">
        <f t="shared" si="4"/>
        <v>11.314838816059179</v>
      </c>
      <c r="R19" s="440">
        <f t="shared" si="5"/>
        <v>13.097853272712452</v>
      </c>
      <c r="S19" s="466">
        <f t="shared" si="18"/>
        <v>-151705.77001861727</v>
      </c>
      <c r="T19" s="440">
        <f t="shared" si="6"/>
        <v>23014640656.941597</v>
      </c>
      <c r="U19" s="466">
        <f t="shared" si="7"/>
        <v>200054.68724650308</v>
      </c>
      <c r="V19" s="467">
        <f t="shared" si="8"/>
        <v>82029.87720629925</v>
      </c>
      <c r="W19" s="467">
        <f t="shared" si="9"/>
        <v>487893.91441662185</v>
      </c>
      <c r="X19" s="468">
        <f t="shared" si="10"/>
        <v>3.1377283860065264</v>
      </c>
      <c r="Y19" s="468">
        <f t="shared" si="11"/>
        <v>3.1377283860065264</v>
      </c>
      <c r="Z19" s="441">
        <f t="shared" si="12"/>
        <v>7.183103439062938</v>
      </c>
      <c r="AA19" s="471">
        <f t="shared" si="13"/>
        <v>12.130700504837346</v>
      </c>
      <c r="AB19" s="441">
        <f t="shared" si="14"/>
        <v>10.786199106171235</v>
      </c>
      <c r="AC19" s="802">
        <f t="shared" si="15"/>
        <v>75</v>
      </c>
      <c r="AD19" s="435">
        <f t="shared" si="16"/>
        <v>11.23919327651071</v>
      </c>
      <c r="AE19" s="441">
        <f t="shared" si="17"/>
        <v>13.022207733163983</v>
      </c>
      <c r="AF19" s="440"/>
      <c r="AG19" s="440"/>
    </row>
    <row r="20" spans="1:33">
      <c r="A20" s="455">
        <v>1972</v>
      </c>
      <c r="B20" s="440">
        <f t="shared" si="0"/>
        <v>1976</v>
      </c>
      <c r="C20" s="480">
        <f>VLOOKUP($A20,'Brd Tbl'!$A$8:$AX$64,6)</f>
        <v>6.9567747344682118</v>
      </c>
      <c r="D20" s="458">
        <f>VLOOKUP($A20,'Brd Tbl'!$A$8:$AX$64,17)</f>
        <v>11.849668897253039</v>
      </c>
      <c r="E20" s="461">
        <v>45</v>
      </c>
      <c r="F20" s="461">
        <v>43</v>
      </c>
      <c r="G20" s="462">
        <v>11.623377978046067</v>
      </c>
      <c r="H20" s="462">
        <v>7.2863777302500612E-2</v>
      </c>
      <c r="I20" s="463">
        <v>7.0289562304936923E-2</v>
      </c>
      <c r="J20" s="461">
        <v>12.130274863042022</v>
      </c>
      <c r="K20" s="461">
        <v>0.69384358977112393</v>
      </c>
      <c r="L20" s="461">
        <v>2.4381107608743003E-2</v>
      </c>
      <c r="M20" s="462">
        <v>0.50805440389459045</v>
      </c>
      <c r="N20" s="458">
        <f t="shared" si="1"/>
        <v>-0.28060596578898256</v>
      </c>
      <c r="O20" s="440">
        <f t="shared" si="2"/>
        <v>7.873970803636765E-2</v>
      </c>
      <c r="P20" s="465">
        <f t="shared" si="3"/>
        <v>12.130274863042022</v>
      </c>
      <c r="Q20" s="440">
        <f t="shared" si="4"/>
        <v>11.238767634715385</v>
      </c>
      <c r="R20" s="440">
        <f t="shared" si="5"/>
        <v>13.021782091368658</v>
      </c>
      <c r="S20" s="466">
        <f t="shared" si="18"/>
        <v>-45362.756254122505</v>
      </c>
      <c r="T20" s="440">
        <f t="shared" si="6"/>
        <v>2057779654.9709306</v>
      </c>
      <c r="U20" s="466">
        <f t="shared" si="7"/>
        <v>185400.72879550772</v>
      </c>
      <c r="V20" s="467">
        <f t="shared" si="8"/>
        <v>76021.208132526401</v>
      </c>
      <c r="W20" s="467">
        <f t="shared" si="9"/>
        <v>452155.80076000403</v>
      </c>
      <c r="X20" s="468">
        <f t="shared" si="10"/>
        <v>0.32393182671019116</v>
      </c>
      <c r="Y20" s="468">
        <f t="shared" si="11"/>
        <v>0.32393182671019116</v>
      </c>
      <c r="Z20" s="441">
        <f t="shared" si="12"/>
        <v>6.9567747344682118</v>
      </c>
      <c r="AA20" s="471">
        <f t="shared" si="13"/>
        <v>12.112949091877876</v>
      </c>
      <c r="AB20" s="441">
        <f t="shared" si="14"/>
        <v>11.849668897253039</v>
      </c>
      <c r="AC20" s="802">
        <f t="shared" si="15"/>
        <v>76</v>
      </c>
      <c r="AD20" s="435">
        <f t="shared" si="16"/>
        <v>11.22144186355124</v>
      </c>
      <c r="AE20" s="441">
        <f t="shared" si="17"/>
        <v>13.004456320204513</v>
      </c>
      <c r="AF20" s="440"/>
      <c r="AG20" s="440"/>
    </row>
    <row r="21" spans="1:33">
      <c r="A21" s="455">
        <v>1973</v>
      </c>
      <c r="B21" s="440">
        <f t="shared" si="0"/>
        <v>1977</v>
      </c>
      <c r="C21" s="480">
        <f>VLOOKUP($A21,'Brd Tbl'!$A$8:$AX$64,6)</f>
        <v>7.3308201925797913</v>
      </c>
      <c r="D21" s="458">
        <f>VLOOKUP($A21,'Brd Tbl'!$A$8:$AX$64,17)</f>
        <v>10.319922690953129</v>
      </c>
      <c r="E21" s="461">
        <v>45</v>
      </c>
      <c r="F21" s="461">
        <v>43</v>
      </c>
      <c r="G21" s="462">
        <v>11.886620539056366</v>
      </c>
      <c r="H21" s="462">
        <v>4.748522289429985E-2</v>
      </c>
      <c r="I21" s="463">
        <v>6.3773505201836889E-2</v>
      </c>
      <c r="J21" s="461">
        <v>12.234726169899051</v>
      </c>
      <c r="K21" s="461">
        <v>0.63402413243208888</v>
      </c>
      <c r="L21" s="461">
        <v>1.2729290069865258E-2</v>
      </c>
      <c r="M21" s="462">
        <v>0.42832701156243408</v>
      </c>
      <c r="N21" s="458">
        <f t="shared" si="1"/>
        <v>-1.9148034789459221</v>
      </c>
      <c r="O21" s="440">
        <f t="shared" si="2"/>
        <v>3.6664723629834062</v>
      </c>
      <c r="P21" s="465">
        <f t="shared" si="3"/>
        <v>12.234726169899051</v>
      </c>
      <c r="Q21" s="440">
        <f t="shared" si="4"/>
        <v>11.343218941572415</v>
      </c>
      <c r="R21" s="440">
        <f t="shared" si="5"/>
        <v>13.126233398225688</v>
      </c>
      <c r="S21" s="466">
        <f t="shared" si="18"/>
        <v>-175482.68449251604</v>
      </c>
      <c r="T21" s="440">
        <f t="shared" si="6"/>
        <v>30794172556.699928</v>
      </c>
      <c r="U21" s="466">
        <f t="shared" si="7"/>
        <v>205813.59714415128</v>
      </c>
      <c r="V21" s="467">
        <f t="shared" si="8"/>
        <v>84391.244881549646</v>
      </c>
      <c r="W21" s="467">
        <f t="shared" si="9"/>
        <v>501938.75951077405</v>
      </c>
      <c r="X21" s="468">
        <f t="shared" si="10"/>
        <v>5.7856051516819482</v>
      </c>
      <c r="Y21" s="468">
        <f t="shared" si="11"/>
        <v>5.7856051516819482</v>
      </c>
      <c r="Z21" s="441">
        <f t="shared" si="12"/>
        <v>7.3308201925797913</v>
      </c>
      <c r="AA21" s="471">
        <f t="shared" si="13"/>
        <v>12.142286225249636</v>
      </c>
      <c r="AB21" s="441">
        <f t="shared" si="14"/>
        <v>10.319922690953129</v>
      </c>
      <c r="AC21" s="802">
        <f t="shared" si="15"/>
        <v>77</v>
      </c>
      <c r="AD21" s="435">
        <f t="shared" si="16"/>
        <v>11.250778996923</v>
      </c>
      <c r="AE21" s="441">
        <f t="shared" si="17"/>
        <v>13.033793453576273</v>
      </c>
      <c r="AF21" s="440"/>
      <c r="AG21" s="440"/>
    </row>
    <row r="22" spans="1:33">
      <c r="A22" s="455">
        <v>1974</v>
      </c>
      <c r="B22" s="440">
        <f t="shared" si="0"/>
        <v>1978</v>
      </c>
      <c r="C22" s="480">
        <f>VLOOKUP($A22,'Brd Tbl'!$A$8:$AX$64,6)</f>
        <v>8.9295922381264159</v>
      </c>
      <c r="D22" s="458">
        <f>VLOOKUP($A22,'Brd Tbl'!$A$8:$AX$64,17)</f>
        <v>11.947676971583181</v>
      </c>
      <c r="E22" s="461">
        <v>45</v>
      </c>
      <c r="F22" s="461">
        <v>43</v>
      </c>
      <c r="G22" s="462">
        <v>11.575674798330168</v>
      </c>
      <c r="H22" s="462">
        <v>7.8292898870984437E-2</v>
      </c>
      <c r="I22" s="463">
        <v>6.8786763242217761E-2</v>
      </c>
      <c r="J22" s="461">
        <v>12.274798460388926</v>
      </c>
      <c r="K22" s="461">
        <v>0.6933271925598351</v>
      </c>
      <c r="L22" s="461">
        <v>2.9246605097021556E-2</v>
      </c>
      <c r="M22" s="462">
        <v>0.50742620921898796</v>
      </c>
      <c r="N22" s="458">
        <f t="shared" si="1"/>
        <v>-0.32712148880574432</v>
      </c>
      <c r="O22" s="440">
        <f t="shared" si="2"/>
        <v>0.1070084684384867</v>
      </c>
      <c r="P22" s="465">
        <f t="shared" si="3"/>
        <v>12.274798460388926</v>
      </c>
      <c r="Q22" s="440">
        <f t="shared" si="4"/>
        <v>11.383291232062289</v>
      </c>
      <c r="R22" s="440">
        <f t="shared" si="5"/>
        <v>13.166305688715562</v>
      </c>
      <c r="S22" s="466">
        <f t="shared" si="18"/>
        <v>-59770.576151659101</v>
      </c>
      <c r="T22" s="440">
        <f t="shared" si="6"/>
        <v>3572521773.5012798</v>
      </c>
      <c r="U22" s="466">
        <f t="shared" si="7"/>
        <v>214228.49550605309</v>
      </c>
      <c r="V22" s="467">
        <f t="shared" si="8"/>
        <v>87841.666807829009</v>
      </c>
      <c r="W22" s="467">
        <f t="shared" si="9"/>
        <v>522461.03648270771</v>
      </c>
      <c r="X22" s="468">
        <f t="shared" si="10"/>
        <v>0.38696996827025276</v>
      </c>
      <c r="Y22" s="468">
        <f t="shared" si="11"/>
        <v>0.38696996827025276</v>
      </c>
      <c r="Z22" s="441">
        <f t="shared" si="12"/>
        <v>8.9295922381264159</v>
      </c>
      <c r="AA22" s="471">
        <f t="shared" si="13"/>
        <v>12.267681114330871</v>
      </c>
      <c r="AB22" s="441">
        <f t="shared" si="14"/>
        <v>11.947676971583181</v>
      </c>
      <c r="AC22" s="802">
        <f t="shared" si="15"/>
        <v>78</v>
      </c>
      <c r="AD22" s="435">
        <f t="shared" si="16"/>
        <v>11.376173886004235</v>
      </c>
      <c r="AE22" s="441">
        <f t="shared" si="17"/>
        <v>13.159188342657508</v>
      </c>
      <c r="AF22" s="440"/>
      <c r="AG22" s="440"/>
    </row>
    <row r="23" spans="1:33">
      <c r="A23" s="455">
        <v>1975</v>
      </c>
      <c r="B23" s="440">
        <f t="shared" si="0"/>
        <v>1979</v>
      </c>
      <c r="C23" s="480">
        <f>VLOOKUP($A23,'Brd Tbl'!$A$8:$AX$64,6)</f>
        <v>6.8938697503515991</v>
      </c>
      <c r="D23" s="458">
        <f>VLOOKUP($A23,'Brd Tbl'!$A$8:$AX$64,17)</f>
        <v>11.137836486346464</v>
      </c>
      <c r="E23" s="461">
        <v>45</v>
      </c>
      <c r="F23" s="461">
        <v>43</v>
      </c>
      <c r="G23" s="462">
        <v>11.78022438658512</v>
      </c>
      <c r="H23" s="462">
        <v>5.7215712757280802E-2</v>
      </c>
      <c r="I23" s="463">
        <v>6.8782003068128622E-2</v>
      </c>
      <c r="J23" s="461">
        <v>12.174662058007344</v>
      </c>
      <c r="K23" s="461">
        <v>0.67804413701545208</v>
      </c>
      <c r="L23" s="461">
        <v>1.5837238581972932E-2</v>
      </c>
      <c r="M23" s="462">
        <v>0.48591512482762295</v>
      </c>
      <c r="N23" s="458">
        <f t="shared" si="1"/>
        <v>-1.0368255716608807</v>
      </c>
      <c r="O23" s="440">
        <f t="shared" si="2"/>
        <v>1.0750072660499121</v>
      </c>
      <c r="P23" s="465">
        <f t="shared" si="3"/>
        <v>12.174662058007344</v>
      </c>
      <c r="Q23" s="440">
        <f t="shared" si="4"/>
        <v>11.283154829680708</v>
      </c>
      <c r="R23" s="440">
        <f t="shared" si="5"/>
        <v>13.066169286333981</v>
      </c>
      <c r="S23" s="466">
        <f t="shared" si="18"/>
        <v>-125092.70729605034</v>
      </c>
      <c r="T23" s="440">
        <f t="shared" si="6"/>
        <v>15648185418.655327</v>
      </c>
      <c r="U23" s="466">
        <f t="shared" si="7"/>
        <v>193815.52004179417</v>
      </c>
      <c r="V23" s="467">
        <f t="shared" si="8"/>
        <v>79471.586137411592</v>
      </c>
      <c r="W23" s="467">
        <f t="shared" si="9"/>
        <v>472677.81649808405</v>
      </c>
      <c r="X23" s="468">
        <f t="shared" si="10"/>
        <v>1.8202501076150677</v>
      </c>
      <c r="Y23" s="468">
        <f t="shared" si="11"/>
        <v>1.8202501076150677</v>
      </c>
      <c r="Z23" s="441">
        <f t="shared" si="12"/>
        <v>6.8938697503515991</v>
      </c>
      <c r="AA23" s="471">
        <f t="shared" si="13"/>
        <v>12.108015328163448</v>
      </c>
      <c r="AB23" s="441">
        <f t="shared" si="14"/>
        <v>11.137836486346464</v>
      </c>
      <c r="AC23" s="802">
        <f t="shared" si="15"/>
        <v>79</v>
      </c>
      <c r="AD23" s="435">
        <f t="shared" si="16"/>
        <v>11.216508099836812</v>
      </c>
      <c r="AE23" s="441">
        <f t="shared" si="17"/>
        <v>12.999522556490085</v>
      </c>
      <c r="AF23" s="440"/>
      <c r="AG23" s="440"/>
    </row>
    <row r="24" spans="1:33">
      <c r="A24" s="455">
        <v>1976</v>
      </c>
      <c r="B24" s="440">
        <f t="shared" si="0"/>
        <v>1980</v>
      </c>
      <c r="C24" s="480">
        <f>VLOOKUP($A24,'Brd Tbl'!$A$8:$AX$64,6)</f>
        <v>8.3645249297946567</v>
      </c>
      <c r="D24" s="458">
        <f>VLOOKUP($A24,'Brd Tbl'!$A$8:$AX$64,17)</f>
        <v>12.065175246038875</v>
      </c>
      <c r="E24" s="461">
        <v>45</v>
      </c>
      <c r="F24" s="461">
        <v>43</v>
      </c>
      <c r="G24" s="462">
        <v>11.579563048842274</v>
      </c>
      <c r="H24" s="462">
        <v>7.7460248902321005E-2</v>
      </c>
      <c r="I24" s="463">
        <v>6.9046088747295731E-2</v>
      </c>
      <c r="J24" s="461">
        <v>12.227481231853838</v>
      </c>
      <c r="K24" s="461">
        <v>0.69465094530278193</v>
      </c>
      <c r="L24" s="461">
        <v>2.8436894760263304E-2</v>
      </c>
      <c r="M24" s="462">
        <v>0.50921877000581284</v>
      </c>
      <c r="N24" s="458">
        <f t="shared" si="1"/>
        <v>-0.1623059858149638</v>
      </c>
      <c r="O24" s="440">
        <f t="shared" si="2"/>
        <v>2.6343233031367232E-2</v>
      </c>
      <c r="P24" s="465">
        <f t="shared" si="3"/>
        <v>12.227481231853838</v>
      </c>
      <c r="Q24" s="440">
        <f t="shared" si="4"/>
        <v>11.335974003527202</v>
      </c>
      <c r="R24" s="440">
        <f t="shared" si="5"/>
        <v>13.118988460180475</v>
      </c>
      <c r="S24" s="466">
        <f t="shared" si="18"/>
        <v>-30612.194108289841</v>
      </c>
      <c r="T24" s="440">
        <f t="shared" si="6"/>
        <v>937106428.12361526</v>
      </c>
      <c r="U24" s="466">
        <f t="shared" si="7"/>
        <v>204327.87885113791</v>
      </c>
      <c r="V24" s="467">
        <f t="shared" si="8"/>
        <v>83782.045013171315</v>
      </c>
      <c r="W24" s="467">
        <f t="shared" si="9"/>
        <v>498315.3857039634</v>
      </c>
      <c r="X24" s="468">
        <f t="shared" si="10"/>
        <v>0.17622009292715957</v>
      </c>
      <c r="Y24" s="468">
        <f t="shared" si="11"/>
        <v>0.17622009292715957</v>
      </c>
      <c r="Z24" s="441">
        <f t="shared" si="12"/>
        <v>8.3645249297946567</v>
      </c>
      <c r="AA24" s="471">
        <f t="shared" si="13"/>
        <v>12.223361755202054</v>
      </c>
      <c r="AB24" s="441">
        <f t="shared" si="14"/>
        <v>12.065175246038875</v>
      </c>
      <c r="AC24" s="802">
        <f t="shared" si="15"/>
        <v>80</v>
      </c>
      <c r="AD24" s="435">
        <f t="shared" si="16"/>
        <v>11.331854526875418</v>
      </c>
      <c r="AE24" s="441">
        <f t="shared" si="17"/>
        <v>13.114868983528691</v>
      </c>
      <c r="AF24" s="440"/>
      <c r="AG24" s="440"/>
    </row>
    <row r="25" spans="1:33">
      <c r="A25" s="455">
        <v>1977</v>
      </c>
      <c r="B25" s="440">
        <f t="shared" si="0"/>
        <v>1981</v>
      </c>
      <c r="C25" s="480">
        <f>VLOOKUP($A25,'Brd Tbl'!$A$8:$AX$64,6)</f>
        <v>8.586839002480172</v>
      </c>
      <c r="D25" s="458">
        <f>VLOOKUP($A25,'Brd Tbl'!$A$8:$AX$64,17)</f>
        <v>11.814132726468909</v>
      </c>
      <c r="E25" s="461">
        <v>45</v>
      </c>
      <c r="F25" s="461">
        <v>43</v>
      </c>
      <c r="G25" s="462">
        <v>11.59170028893945</v>
      </c>
      <c r="H25" s="462">
        <v>7.6772621134951077E-2</v>
      </c>
      <c r="I25" s="463">
        <v>6.8701566699858732E-2</v>
      </c>
      <c r="J25" s="461">
        <v>12.250934426423681</v>
      </c>
      <c r="K25" s="461">
        <v>0.69195583291917462</v>
      </c>
      <c r="L25" s="461">
        <v>2.8221385841163713E-2</v>
      </c>
      <c r="M25" s="462">
        <v>0.50556427018243477</v>
      </c>
      <c r="N25" s="458">
        <f t="shared" si="1"/>
        <v>-0.43680169995477236</v>
      </c>
      <c r="O25" s="440">
        <f t="shared" si="2"/>
        <v>0.19079572508337897</v>
      </c>
      <c r="P25" s="465">
        <f t="shared" si="3"/>
        <v>12.250934426423681</v>
      </c>
      <c r="Q25" s="440">
        <f t="shared" si="4"/>
        <v>11.359427198097045</v>
      </c>
      <c r="R25" s="440">
        <f t="shared" si="5"/>
        <v>13.142441654750318</v>
      </c>
      <c r="S25" s="466">
        <f t="shared" si="18"/>
        <v>-74027.715349269827</v>
      </c>
      <c r="T25" s="440">
        <f t="shared" si="6"/>
        <v>5480102639.8325195</v>
      </c>
      <c r="U25" s="466">
        <f t="shared" si="7"/>
        <v>209176.65777280493</v>
      </c>
      <c r="V25" s="467">
        <f t="shared" si="8"/>
        <v>85770.225070431086</v>
      </c>
      <c r="W25" s="467">
        <f t="shared" si="9"/>
        <v>510140.60090283537</v>
      </c>
      <c r="X25" s="468">
        <f t="shared" si="10"/>
        <v>0.54774912790126651</v>
      </c>
      <c r="Y25" s="468">
        <f t="shared" si="11"/>
        <v>0.54774912790126651</v>
      </c>
      <c r="Z25" s="441">
        <f t="shared" si="12"/>
        <v>8.586839002480172</v>
      </c>
      <c r="AA25" s="471">
        <f t="shared" si="13"/>
        <v>12.240798292551609</v>
      </c>
      <c r="AB25" s="441">
        <f t="shared" si="14"/>
        <v>11.814132726468909</v>
      </c>
      <c r="AC25" s="802">
        <f t="shared" si="15"/>
        <v>81</v>
      </c>
      <c r="AD25" s="435">
        <f t="shared" si="16"/>
        <v>11.349291064224973</v>
      </c>
      <c r="AE25" s="441">
        <f t="shared" si="17"/>
        <v>13.132305520878246</v>
      </c>
      <c r="AF25" s="440"/>
      <c r="AG25" s="440"/>
    </row>
    <row r="26" spans="1:33">
      <c r="A26" s="455">
        <v>1978</v>
      </c>
      <c r="B26" s="440">
        <f t="shared" si="0"/>
        <v>1982</v>
      </c>
      <c r="C26" s="480">
        <f>VLOOKUP($A26,'Brd Tbl'!$A$8:$AX$64,6)</f>
        <v>11.283954198754358</v>
      </c>
      <c r="D26" s="458">
        <f>VLOOKUP($A26,'Brd Tbl'!$A$8:$AX$64,17)</f>
        <v>12.793846775642196</v>
      </c>
      <c r="E26" s="461">
        <v>45</v>
      </c>
      <c r="F26" s="461">
        <v>43</v>
      </c>
      <c r="G26" s="462">
        <v>11.634599736051365</v>
      </c>
      <c r="H26" s="462">
        <v>7.0039462287869891E-2</v>
      </c>
      <c r="I26" s="463">
        <v>7.0676088023770012E-2</v>
      </c>
      <c r="J26" s="461">
        <v>12.424921820613072</v>
      </c>
      <c r="K26" s="461">
        <v>0.69296969474139414</v>
      </c>
      <c r="L26" s="461">
        <v>2.2328779051314872E-2</v>
      </c>
      <c r="M26" s="462">
        <v>0.50677960579666004</v>
      </c>
      <c r="N26" s="458">
        <f t="shared" si="1"/>
        <v>0.36892495502912404</v>
      </c>
      <c r="O26" s="440">
        <f t="shared" si="2"/>
        <v>0.1361056224432412</v>
      </c>
      <c r="P26" s="465">
        <f t="shared" si="3"/>
        <v>12.424921820613072</v>
      </c>
      <c r="Q26" s="440">
        <f t="shared" si="4"/>
        <v>11.533414592286436</v>
      </c>
      <c r="R26" s="440">
        <f t="shared" si="5"/>
        <v>13.316429048939709</v>
      </c>
      <c r="S26" s="466">
        <f t="shared" si="18"/>
        <v>111066.77964954384</v>
      </c>
      <c r="T26" s="440">
        <f t="shared" si="6"/>
        <v>12335829541.720325</v>
      </c>
      <c r="U26" s="466">
        <f t="shared" si="7"/>
        <v>248928.70785430304</v>
      </c>
      <c r="V26" s="467">
        <f t="shared" si="8"/>
        <v>102070.04704293999</v>
      </c>
      <c r="W26" s="467">
        <f t="shared" si="9"/>
        <v>607088.0085706691</v>
      </c>
      <c r="X26" s="468">
        <f t="shared" si="10"/>
        <v>-0.30852269960288597</v>
      </c>
      <c r="Y26" s="468">
        <f t="shared" si="11"/>
        <v>0.30852269960288597</v>
      </c>
      <c r="Z26" s="441">
        <f t="shared" si="12"/>
        <v>11.283954198754358</v>
      </c>
      <c r="AA26" s="471">
        <f t="shared" si="13"/>
        <v>12.452338431634091</v>
      </c>
      <c r="AB26" s="441">
        <f t="shared" si="14"/>
        <v>12.793846775642196</v>
      </c>
      <c r="AC26" s="802">
        <f t="shared" si="15"/>
        <v>82</v>
      </c>
      <c r="AD26" s="435">
        <f t="shared" si="16"/>
        <v>11.560831203307455</v>
      </c>
      <c r="AE26" s="441">
        <f t="shared" si="17"/>
        <v>13.343845659960728</v>
      </c>
      <c r="AF26" s="440"/>
      <c r="AG26" s="440"/>
    </row>
    <row r="27" spans="1:33">
      <c r="A27" s="455">
        <v>1979</v>
      </c>
      <c r="B27" s="440">
        <f t="shared" si="0"/>
        <v>1983</v>
      </c>
      <c r="C27" s="480">
        <f>VLOOKUP($A27,'Brd Tbl'!$A$8:$AX$64,6)</f>
        <v>9.7332633270381361</v>
      </c>
      <c r="D27" s="458">
        <f>VLOOKUP($A27,'Brd Tbl'!$A$8:$AX$64,17)</f>
        <v>12.755644426092186</v>
      </c>
      <c r="E27" s="461">
        <v>45</v>
      </c>
      <c r="F27" s="461">
        <v>43</v>
      </c>
      <c r="G27" s="462">
        <v>11.58716202287092</v>
      </c>
      <c r="H27" s="462">
        <v>7.5161576029761312E-2</v>
      </c>
      <c r="I27" s="463">
        <v>6.8851856645620879E-2</v>
      </c>
      <c r="J27" s="461">
        <v>12.318729434443785</v>
      </c>
      <c r="K27" s="461">
        <v>0.69196776483371403</v>
      </c>
      <c r="L27" s="461">
        <v>2.6966209914208165E-2</v>
      </c>
      <c r="M27" s="462">
        <v>0.50556207051924051</v>
      </c>
      <c r="N27" s="458">
        <f t="shared" si="1"/>
        <v>0.43691499164840053</v>
      </c>
      <c r="O27" s="440">
        <f t="shared" si="2"/>
        <v>0.1908947099271219</v>
      </c>
      <c r="P27" s="465">
        <f t="shared" si="3"/>
        <v>12.318729434443785</v>
      </c>
      <c r="Q27" s="440">
        <f t="shared" si="4"/>
        <v>11.427222206117149</v>
      </c>
      <c r="R27" s="440">
        <f t="shared" si="5"/>
        <v>13.210236662770422</v>
      </c>
      <c r="S27" s="466">
        <f t="shared" si="18"/>
        <v>122652.64706691852</v>
      </c>
      <c r="T27" s="440">
        <f t="shared" si="6"/>
        <v>15043671832.522078</v>
      </c>
      <c r="U27" s="466">
        <f t="shared" si="7"/>
        <v>223849.54575837156</v>
      </c>
      <c r="V27" s="467">
        <f t="shared" si="8"/>
        <v>91786.655958824849</v>
      </c>
      <c r="W27" s="467">
        <f t="shared" si="9"/>
        <v>545924.87995976047</v>
      </c>
      <c r="X27" s="468">
        <f t="shared" si="10"/>
        <v>-0.3539736532887145</v>
      </c>
      <c r="Y27" s="468">
        <f t="shared" si="11"/>
        <v>0.3539736532887145</v>
      </c>
      <c r="Z27" s="441">
        <f t="shared" si="12"/>
        <v>9.7332633270381361</v>
      </c>
      <c r="AA27" s="471">
        <f t="shared" si="13"/>
        <v>12.330714645178869</v>
      </c>
      <c r="AB27" s="441">
        <f t="shared" si="14"/>
        <v>12.755644426092186</v>
      </c>
      <c r="AC27" s="802">
        <f t="shared" si="15"/>
        <v>83</v>
      </c>
      <c r="AD27" s="435">
        <f t="shared" si="16"/>
        <v>11.439207416852232</v>
      </c>
      <c r="AE27" s="441">
        <f t="shared" si="17"/>
        <v>13.222221873505505</v>
      </c>
      <c r="AF27" s="440"/>
      <c r="AG27" s="440"/>
    </row>
    <row r="28" spans="1:33">
      <c r="A28" s="455">
        <v>1980</v>
      </c>
      <c r="B28" s="440">
        <f t="shared" si="0"/>
        <v>1984</v>
      </c>
      <c r="C28" s="480">
        <f>VLOOKUP($A28,'Brd Tbl'!$A$8:$AX$64,6)</f>
        <v>10.155779660590518</v>
      </c>
      <c r="D28" s="458">
        <f>VLOOKUP($A28,'Brd Tbl'!$A$8:$AX$64,17)</f>
        <v>12.223216515315409</v>
      </c>
      <c r="E28" s="461">
        <v>45</v>
      </c>
      <c r="F28" s="461">
        <v>43</v>
      </c>
      <c r="G28" s="462">
        <v>11.555250467107742</v>
      </c>
      <c r="H28" s="462">
        <v>8.0129884712174707E-2</v>
      </c>
      <c r="I28" s="463">
        <v>6.941648564176725E-2</v>
      </c>
      <c r="J28" s="461">
        <v>12.369031920473109</v>
      </c>
      <c r="K28" s="461">
        <v>0.69473744122107672</v>
      </c>
      <c r="L28" s="461">
        <v>3.0056725874680675E-2</v>
      </c>
      <c r="M28" s="462">
        <v>0.50933168335359202</v>
      </c>
      <c r="N28" s="458">
        <f t="shared" si="1"/>
        <v>-0.14581540515770008</v>
      </c>
      <c r="O28" s="440">
        <f t="shared" si="2"/>
        <v>2.1262132381304227E-2</v>
      </c>
      <c r="P28" s="465">
        <f t="shared" si="3"/>
        <v>12.369031920473109</v>
      </c>
      <c r="Q28" s="440">
        <f t="shared" si="4"/>
        <v>11.477524692146472</v>
      </c>
      <c r="R28" s="440">
        <f t="shared" si="5"/>
        <v>13.260539148799745</v>
      </c>
      <c r="S28" s="466">
        <f t="shared" si="18"/>
        <v>-31939.417289330799</v>
      </c>
      <c r="T28" s="440">
        <f t="shared" si="6"/>
        <v>1020126376.7820032</v>
      </c>
      <c r="U28" s="466">
        <f t="shared" si="7"/>
        <v>235397.75115563488</v>
      </c>
      <c r="V28" s="467">
        <f t="shared" si="8"/>
        <v>96521.850538511906</v>
      </c>
      <c r="W28" s="467">
        <f t="shared" si="9"/>
        <v>574088.67463664047</v>
      </c>
      <c r="X28" s="468">
        <f t="shared" si="10"/>
        <v>0.15698259531761785</v>
      </c>
      <c r="Y28" s="468">
        <f t="shared" si="11"/>
        <v>0.15698259531761785</v>
      </c>
      <c r="Z28" s="441">
        <f t="shared" si="12"/>
        <v>10.155779660590518</v>
      </c>
      <c r="AA28" s="471">
        <f t="shared" si="13"/>
        <v>12.363853446253351</v>
      </c>
      <c r="AB28" s="441">
        <f t="shared" si="14"/>
        <v>12.223216515315409</v>
      </c>
      <c r="AC28" s="802">
        <f t="shared" si="15"/>
        <v>84</v>
      </c>
      <c r="AD28" s="435">
        <f t="shared" si="16"/>
        <v>11.472346217926715</v>
      </c>
      <c r="AE28" s="441">
        <f t="shared" si="17"/>
        <v>13.255360674579988</v>
      </c>
      <c r="AF28" s="440"/>
      <c r="AG28" s="440"/>
    </row>
    <row r="29" spans="1:33">
      <c r="A29" s="455">
        <v>1981</v>
      </c>
      <c r="B29" s="440">
        <f t="shared" si="0"/>
        <v>1985</v>
      </c>
      <c r="C29" s="480">
        <f>VLOOKUP($A29,'Brd Tbl'!$A$8:$AX$64,6)</f>
        <v>8.4721977115721039</v>
      </c>
      <c r="D29" s="458">
        <f>VLOOKUP($A29,'Brd Tbl'!$A$8:$AX$64,17)</f>
        <v>11.964532789893058</v>
      </c>
      <c r="E29" s="461">
        <v>45</v>
      </c>
      <c r="F29" s="461">
        <v>43</v>
      </c>
      <c r="G29" s="462">
        <v>11.585379609924916</v>
      </c>
      <c r="H29" s="462">
        <v>7.7082382500561222E-2</v>
      </c>
      <c r="I29" s="463">
        <v>6.8925414662168477E-2</v>
      </c>
      <c r="J29" s="461">
        <v>12.238436794548695</v>
      </c>
      <c r="K29" s="461">
        <v>0.69385482782283225</v>
      </c>
      <c r="L29" s="461">
        <v>2.8263854321549743E-2</v>
      </c>
      <c r="M29" s="462">
        <v>0.5081369884339233</v>
      </c>
      <c r="N29" s="458">
        <f t="shared" si="1"/>
        <v>-0.27390400465563758</v>
      </c>
      <c r="O29" s="440">
        <f t="shared" si="2"/>
        <v>7.5023403766395533E-2</v>
      </c>
      <c r="P29" s="465">
        <f t="shared" si="3"/>
        <v>12.238436794548695</v>
      </c>
      <c r="Q29" s="440">
        <f t="shared" si="4"/>
        <v>11.346929566222059</v>
      </c>
      <c r="R29" s="440">
        <f t="shared" si="5"/>
        <v>13.129944022875332</v>
      </c>
      <c r="S29" s="466">
        <f t="shared" si="18"/>
        <v>-49495.212831503683</v>
      </c>
      <c r="T29" s="440">
        <f t="shared" si="6"/>
        <v>2449776093.235847</v>
      </c>
      <c r="U29" s="466">
        <f t="shared" si="7"/>
        <v>206578.71280156597</v>
      </c>
      <c r="V29" s="467">
        <f t="shared" si="8"/>
        <v>84704.970814644184</v>
      </c>
      <c r="W29" s="467">
        <f t="shared" si="9"/>
        <v>503804.72565340955</v>
      </c>
      <c r="X29" s="468">
        <f t="shared" si="10"/>
        <v>0.31508855380060102</v>
      </c>
      <c r="Y29" s="468">
        <f t="shared" si="11"/>
        <v>0.31508855380060102</v>
      </c>
      <c r="Z29" s="441">
        <f t="shared" si="12"/>
        <v>8.4721977115721039</v>
      </c>
      <c r="AA29" s="471">
        <f t="shared" si="13"/>
        <v>12.231806746822755</v>
      </c>
      <c r="AB29" s="441">
        <f t="shared" si="14"/>
        <v>11.964532789893058</v>
      </c>
      <c r="AC29" s="802">
        <f t="shared" si="15"/>
        <v>85</v>
      </c>
      <c r="AD29" s="435">
        <f t="shared" si="16"/>
        <v>11.340299518496119</v>
      </c>
      <c r="AE29" s="441">
        <f t="shared" si="17"/>
        <v>13.123313975149392</v>
      </c>
      <c r="AF29" s="440"/>
      <c r="AG29" s="440"/>
    </row>
    <row r="30" spans="1:33">
      <c r="A30" s="455">
        <v>1982</v>
      </c>
      <c r="B30" s="440">
        <f t="shared" si="0"/>
        <v>1986</v>
      </c>
      <c r="C30" s="480">
        <f>VLOOKUP($A30,'Brd Tbl'!$A$8:$AX$64,6)</f>
        <v>10.345240318270431</v>
      </c>
      <c r="D30" s="458">
        <f>VLOOKUP($A30,'Brd Tbl'!$A$8:$AX$64,17)</f>
        <v>12.585188327865673</v>
      </c>
      <c r="E30" s="461">
        <v>45</v>
      </c>
      <c r="F30" s="461">
        <v>43</v>
      </c>
      <c r="G30" s="462">
        <v>11.588716175908244</v>
      </c>
      <c r="H30" s="462">
        <v>7.5525679358345962E-2</v>
      </c>
      <c r="I30" s="463">
        <v>6.9548513121291983E-2</v>
      </c>
      <c r="J30" s="461">
        <v>12.370047479070969</v>
      </c>
      <c r="K30" s="461">
        <v>0.69433707095101094</v>
      </c>
      <c r="L30" s="461">
        <v>2.6692855615944526E-2</v>
      </c>
      <c r="M30" s="462">
        <v>0.50877560663272969</v>
      </c>
      <c r="N30" s="458">
        <f t="shared" si="1"/>
        <v>0.21514084879470374</v>
      </c>
      <c r="O30" s="440">
        <f t="shared" si="2"/>
        <v>4.6285584820105578E-2</v>
      </c>
      <c r="P30" s="465">
        <f t="shared" si="3"/>
        <v>12.370047479070969</v>
      </c>
      <c r="Q30" s="440">
        <f t="shared" si="4"/>
        <v>11.478540250744333</v>
      </c>
      <c r="R30" s="440">
        <f t="shared" si="5"/>
        <v>13.261554707397606</v>
      </c>
      <c r="S30" s="466">
        <f t="shared" si="18"/>
        <v>56561.47459113205</v>
      </c>
      <c r="T30" s="440">
        <f t="shared" si="6"/>
        <v>3199200407.9232764</v>
      </c>
      <c r="U30" s="466">
        <f t="shared" si="7"/>
        <v>235636.93279666707</v>
      </c>
      <c r="V30" s="467">
        <f t="shared" si="8"/>
        <v>96619.923924913979</v>
      </c>
      <c r="W30" s="467">
        <f t="shared" si="9"/>
        <v>574671.99147218151</v>
      </c>
      <c r="X30" s="468">
        <f t="shared" si="10"/>
        <v>-0.19357215221253735</v>
      </c>
      <c r="Y30" s="468">
        <f t="shared" si="11"/>
        <v>0.19357215221253735</v>
      </c>
      <c r="Z30" s="441">
        <f t="shared" si="12"/>
        <v>10.345240318270431</v>
      </c>
      <c r="AA30" s="471">
        <f t="shared" si="13"/>
        <v>12.378713224557085</v>
      </c>
      <c r="AB30" s="441">
        <f t="shared" si="14"/>
        <v>12.585188327865673</v>
      </c>
      <c r="AC30" s="802">
        <f t="shared" si="15"/>
        <v>86</v>
      </c>
      <c r="AD30" s="435">
        <f t="shared" si="16"/>
        <v>11.487205996230449</v>
      </c>
      <c r="AE30" s="441">
        <f t="shared" si="17"/>
        <v>13.270220452883722</v>
      </c>
      <c r="AF30" s="440"/>
      <c r="AG30" s="440"/>
    </row>
    <row r="31" spans="1:33">
      <c r="A31" s="455">
        <v>1983</v>
      </c>
      <c r="B31" s="440">
        <f t="shared" si="0"/>
        <v>1987</v>
      </c>
      <c r="C31" s="480">
        <f>VLOOKUP($A31,'Brd Tbl'!$A$8:$AX$64,6)</f>
        <v>9.8478179976135216</v>
      </c>
      <c r="D31" s="458">
        <f>VLOOKUP($A31,'Brd Tbl'!$A$8:$AX$64,17)</f>
        <v>11.642981829504725</v>
      </c>
      <c r="E31" s="461">
        <v>45</v>
      </c>
      <c r="F31" s="461">
        <v>43</v>
      </c>
      <c r="G31" s="462">
        <v>11.527451262418388</v>
      </c>
      <c r="H31" s="462">
        <v>8.4613674489224702E-2</v>
      </c>
      <c r="I31" s="463">
        <v>6.8389019998455161E-2</v>
      </c>
      <c r="J31" s="461">
        <v>12.360711328897587</v>
      </c>
      <c r="K31" s="461">
        <v>0.6866642845507207</v>
      </c>
      <c r="L31" s="461">
        <v>3.4375434791665667E-2</v>
      </c>
      <c r="M31" s="462">
        <v>0.49835671664431586</v>
      </c>
      <c r="N31" s="458">
        <f t="shared" si="1"/>
        <v>-0.71772949939286157</v>
      </c>
      <c r="O31" s="440">
        <f t="shared" si="2"/>
        <v>0.51513563429872766</v>
      </c>
      <c r="P31" s="465">
        <f t="shared" si="3"/>
        <v>12.360711328897587</v>
      </c>
      <c r="Q31" s="440">
        <f t="shared" si="4"/>
        <v>11.46920410057095</v>
      </c>
      <c r="R31" s="440">
        <f t="shared" si="5"/>
        <v>13.252218557224223</v>
      </c>
      <c r="S31" s="466">
        <f t="shared" si="18"/>
        <v>-119557.97114788994</v>
      </c>
      <c r="T31" s="440">
        <f t="shared" si="6"/>
        <v>14294108464.999683</v>
      </c>
      <c r="U31" s="466">
        <f t="shared" si="7"/>
        <v>233447.22861442596</v>
      </c>
      <c r="V31" s="467">
        <f t="shared" si="8"/>
        <v>95722.06360651998</v>
      </c>
      <c r="W31" s="467">
        <f t="shared" si="9"/>
        <v>569331.73496736051</v>
      </c>
      <c r="X31" s="468">
        <f t="shared" si="10"/>
        <v>1.049773910265589</v>
      </c>
      <c r="Y31" s="468">
        <f t="shared" si="11"/>
        <v>1.049773910265589</v>
      </c>
      <c r="Z31" s="441">
        <f t="shared" si="12"/>
        <v>9.8478179976135216</v>
      </c>
      <c r="AA31" s="471">
        <f t="shared" si="13"/>
        <v>12.339699397101791</v>
      </c>
      <c r="AB31" s="441">
        <f t="shared" si="14"/>
        <v>11.642981829504725</v>
      </c>
      <c r="AC31" s="802">
        <f t="shared" si="15"/>
        <v>87</v>
      </c>
      <c r="AD31" s="435">
        <f t="shared" si="16"/>
        <v>11.448192168775154</v>
      </c>
      <c r="AE31" s="441">
        <f t="shared" si="17"/>
        <v>13.231206625428428</v>
      </c>
      <c r="AF31" s="440"/>
      <c r="AG31" s="440"/>
    </row>
    <row r="32" spans="1:33">
      <c r="A32" s="455">
        <v>1984</v>
      </c>
      <c r="B32" s="440">
        <f t="shared" si="0"/>
        <v>1988</v>
      </c>
      <c r="C32" s="480">
        <f>VLOOKUP($A32,'Brd Tbl'!$A$8:$AX$64,6)</f>
        <v>9.6834574148761732</v>
      </c>
      <c r="D32" s="458">
        <f>VLOOKUP($A32,'Brd Tbl'!$A$8:$AX$64,17)</f>
        <v>12.593228770058985</v>
      </c>
      <c r="E32" s="461">
        <v>45</v>
      </c>
      <c r="F32" s="461">
        <v>43</v>
      </c>
      <c r="G32" s="462">
        <v>11.578545408434396</v>
      </c>
      <c r="H32" s="462">
        <v>7.6517237661344897E-2</v>
      </c>
      <c r="I32" s="463">
        <v>6.9014504584583816E-2</v>
      </c>
      <c r="J32" s="461">
        <v>12.319496820831988</v>
      </c>
      <c r="K32" s="461">
        <v>0.69385951352289565</v>
      </c>
      <c r="L32" s="461">
        <v>2.7792544425997042E-2</v>
      </c>
      <c r="M32" s="462">
        <v>0.50813908229478499</v>
      </c>
      <c r="N32" s="458">
        <f t="shared" si="1"/>
        <v>0.27373194922699717</v>
      </c>
      <c r="O32" s="440">
        <f t="shared" si="2"/>
        <v>7.4929180027611356E-2</v>
      </c>
      <c r="P32" s="465">
        <f t="shared" si="3"/>
        <v>12.319496820831988</v>
      </c>
      <c r="Q32" s="440">
        <f t="shared" si="4"/>
        <v>11.427989592505352</v>
      </c>
      <c r="R32" s="440">
        <f t="shared" si="5"/>
        <v>13.211004049158625</v>
      </c>
      <c r="S32" s="466">
        <f t="shared" si="18"/>
        <v>70535.89150169646</v>
      </c>
      <c r="T32" s="440">
        <f t="shared" si="6"/>
        <v>4975311989.9390945</v>
      </c>
      <c r="U32" s="466">
        <f t="shared" si="7"/>
        <v>224021.3907801242</v>
      </c>
      <c r="V32" s="467">
        <f t="shared" si="8"/>
        <v>91857.118821889453</v>
      </c>
      <c r="W32" s="467">
        <f t="shared" si="9"/>
        <v>546343.9760653798</v>
      </c>
      <c r="X32" s="468">
        <f t="shared" si="10"/>
        <v>-0.23946408982077222</v>
      </c>
      <c r="Y32" s="468">
        <f t="shared" si="11"/>
        <v>0.23946408982077222</v>
      </c>
      <c r="Z32" s="441">
        <f t="shared" si="12"/>
        <v>9.6834574148761732</v>
      </c>
      <c r="AA32" s="471">
        <f t="shared" si="13"/>
        <v>12.326808267876029</v>
      </c>
      <c r="AB32" s="441">
        <f t="shared" si="14"/>
        <v>12.593228770058985</v>
      </c>
      <c r="AC32" s="802">
        <f t="shared" si="15"/>
        <v>88</v>
      </c>
      <c r="AD32" s="435">
        <f t="shared" si="16"/>
        <v>11.435301039549392</v>
      </c>
      <c r="AE32" s="441">
        <f t="shared" si="17"/>
        <v>13.218315496202665</v>
      </c>
      <c r="AF32" s="440"/>
      <c r="AG32" s="440"/>
    </row>
    <row r="33" spans="1:35">
      <c r="A33" s="455">
        <v>1985</v>
      </c>
      <c r="B33" s="440">
        <f t="shared" si="0"/>
        <v>1989</v>
      </c>
      <c r="C33" s="480">
        <f>VLOOKUP($A33,'Brd Tbl'!$A$8:$AX$64,6)</f>
        <v>10.513712327196895</v>
      </c>
      <c r="D33" s="458">
        <f>VLOOKUP($A33,'Brd Tbl'!$A$8:$AX$64,17)</f>
        <v>12.391479356752267</v>
      </c>
      <c r="E33" s="461">
        <v>45</v>
      </c>
      <c r="F33" s="461">
        <v>43</v>
      </c>
      <c r="G33" s="462">
        <v>11.567261749749992</v>
      </c>
      <c r="H33" s="462">
        <v>7.8439107395224791E-2</v>
      </c>
      <c r="I33" s="463">
        <v>6.9798888474578116E-2</v>
      </c>
      <c r="J33" s="461">
        <v>12.391947960105488</v>
      </c>
      <c r="K33" s="461">
        <v>0.69508058170059361</v>
      </c>
      <c r="L33" s="461">
        <v>2.853175116622373E-2</v>
      </c>
      <c r="M33" s="462">
        <v>0.50980417030452974</v>
      </c>
      <c r="N33" s="458">
        <f t="shared" si="1"/>
        <v>-4.6860335322129743E-4</v>
      </c>
      <c r="O33" s="440">
        <f t="shared" si="2"/>
        <v>2.1958910265024403E-7</v>
      </c>
      <c r="P33" s="465">
        <f t="shared" si="3"/>
        <v>12.391947960105488</v>
      </c>
      <c r="Q33" s="440">
        <f t="shared" si="4"/>
        <v>11.500440731778852</v>
      </c>
      <c r="R33" s="440">
        <f t="shared" si="5"/>
        <v>13.283455188432125</v>
      </c>
      <c r="S33" s="466">
        <f t="shared" si="18"/>
        <v>-112.83874808743712</v>
      </c>
      <c r="T33" s="440">
        <f t="shared" si="6"/>
        <v>12732.583069940096</v>
      </c>
      <c r="U33" s="466">
        <f t="shared" si="7"/>
        <v>240854.41916769068</v>
      </c>
      <c r="V33" s="467">
        <f t="shared" si="8"/>
        <v>98759.287777025311</v>
      </c>
      <c r="W33" s="467">
        <f t="shared" si="9"/>
        <v>587396.41139960603</v>
      </c>
      <c r="X33" s="468">
        <f t="shared" si="10"/>
        <v>4.6871316492466138E-4</v>
      </c>
      <c r="Y33" s="468">
        <f t="shared" si="11"/>
        <v>4.6871316492466138E-4</v>
      </c>
      <c r="Z33" s="441">
        <f t="shared" si="12"/>
        <v>10.513712327196895</v>
      </c>
      <c r="AA33" s="471">
        <f t="shared" si="13"/>
        <v>12.391926821161725</v>
      </c>
      <c r="AB33" s="441">
        <f t="shared" si="14"/>
        <v>12.391479356752267</v>
      </c>
      <c r="AC33" s="802">
        <f t="shared" si="15"/>
        <v>89</v>
      </c>
      <c r="AD33" s="435">
        <f t="shared" si="16"/>
        <v>11.500419592835089</v>
      </c>
      <c r="AE33" s="441">
        <f t="shared" si="17"/>
        <v>13.283434049488362</v>
      </c>
      <c r="AF33" s="440"/>
      <c r="AG33" s="440"/>
    </row>
    <row r="34" spans="1:35">
      <c r="A34" s="455">
        <v>1986</v>
      </c>
      <c r="B34" s="440">
        <f t="shared" si="0"/>
        <v>1990</v>
      </c>
      <c r="C34" s="480">
        <f>VLOOKUP($A34,'Brd Tbl'!$A$8:$AX$64,6)</f>
        <v>9.0379152018843385</v>
      </c>
      <c r="D34" s="458">
        <f>VLOOKUP($A34,'Brd Tbl'!$A$8:$AX$64,17)</f>
        <v>12.555611132914068</v>
      </c>
      <c r="E34" s="461">
        <v>45</v>
      </c>
      <c r="F34" s="461">
        <v>43</v>
      </c>
      <c r="G34" s="462">
        <v>11.562748365610373</v>
      </c>
      <c r="H34" s="462">
        <v>7.8248897621793267E-2</v>
      </c>
      <c r="I34" s="463">
        <v>6.8828934962691338E-2</v>
      </c>
      <c r="J34" s="461">
        <v>12.269955266957069</v>
      </c>
      <c r="K34" s="461">
        <v>0.69374396937311333</v>
      </c>
      <c r="L34" s="461">
        <v>2.9179956191960808E-2</v>
      </c>
      <c r="M34" s="462">
        <v>0.50799085798971777</v>
      </c>
      <c r="N34" s="458">
        <f t="shared" si="1"/>
        <v>0.28565586595699877</v>
      </c>
      <c r="O34" s="440">
        <f t="shared" si="2"/>
        <v>8.1599273755642854E-2</v>
      </c>
      <c r="P34" s="465">
        <f t="shared" si="3"/>
        <v>12.269955266957069</v>
      </c>
      <c r="Q34" s="440">
        <f t="shared" si="4"/>
        <v>11.378448038630433</v>
      </c>
      <c r="R34" s="440">
        <f t="shared" si="5"/>
        <v>13.161462495283706</v>
      </c>
      <c r="S34" s="466">
        <f t="shared" si="18"/>
        <v>70489.102483754221</v>
      </c>
      <c r="T34" s="440">
        <f t="shared" si="6"/>
        <v>4968713568.9652052</v>
      </c>
      <c r="U34" s="466">
        <f t="shared" si="7"/>
        <v>213193.45394016401</v>
      </c>
      <c r="V34" s="467">
        <f t="shared" si="8"/>
        <v>87417.261192934922</v>
      </c>
      <c r="W34" s="467">
        <f t="shared" si="9"/>
        <v>519936.77430162072</v>
      </c>
      <c r="X34" s="468">
        <f t="shared" si="10"/>
        <v>-0.24847880452127458</v>
      </c>
      <c r="Y34" s="468">
        <f t="shared" si="11"/>
        <v>0.24847880452127458</v>
      </c>
      <c r="Z34" s="441">
        <f t="shared" si="12"/>
        <v>9.0379152018843385</v>
      </c>
      <c r="AA34" s="471">
        <f t="shared" si="13"/>
        <v>12.276177101024667</v>
      </c>
      <c r="AB34" s="441">
        <f t="shared" si="14"/>
        <v>12.555611132914068</v>
      </c>
      <c r="AC34" s="802">
        <f t="shared" si="15"/>
        <v>90</v>
      </c>
      <c r="AD34" s="435">
        <f t="shared" si="16"/>
        <v>11.38466987269803</v>
      </c>
      <c r="AE34" s="441">
        <f t="shared" si="17"/>
        <v>13.167684329351303</v>
      </c>
      <c r="AF34" s="440"/>
      <c r="AG34" s="440"/>
    </row>
    <row r="35" spans="1:35">
      <c r="A35" s="455">
        <v>1987</v>
      </c>
      <c r="B35" s="440">
        <f t="shared" si="0"/>
        <v>1991</v>
      </c>
      <c r="C35" s="480">
        <f>VLOOKUP($A35,'Brd Tbl'!$A$8:$AX$64,6)</f>
        <v>11.274736584128879</v>
      </c>
      <c r="D35" s="458">
        <f>VLOOKUP($A35,'Brd Tbl'!$A$8:$AX$64,17)</f>
        <v>12.345291589425951</v>
      </c>
      <c r="E35" s="461">
        <v>45</v>
      </c>
      <c r="F35" s="461">
        <v>43</v>
      </c>
      <c r="G35" s="462">
        <v>11.546470201919938</v>
      </c>
      <c r="H35" s="462">
        <v>8.1033303019008976E-2</v>
      </c>
      <c r="I35" s="463">
        <v>7.0854531714233365E-2</v>
      </c>
      <c r="J35" s="461">
        <v>12.46009934800116</v>
      </c>
      <c r="K35" s="461">
        <v>0.69487634921584363</v>
      </c>
      <c r="L35" s="461">
        <v>2.951957783141354E-2</v>
      </c>
      <c r="M35" s="462">
        <v>0.50951126804141944</v>
      </c>
      <c r="N35" s="458">
        <f t="shared" si="1"/>
        <v>-0.11480775857520875</v>
      </c>
      <c r="O35" s="440">
        <f t="shared" si="2"/>
        <v>1.3180821429063419E-2</v>
      </c>
      <c r="P35" s="465">
        <f t="shared" si="3"/>
        <v>12.46009934800116</v>
      </c>
      <c r="Q35" s="440">
        <f t="shared" si="4"/>
        <v>11.568592119674523</v>
      </c>
      <c r="R35" s="440">
        <f t="shared" si="5"/>
        <v>13.351606576327796</v>
      </c>
      <c r="S35" s="466">
        <f t="shared" si="18"/>
        <v>-27966.101508971391</v>
      </c>
      <c r="T35" s="440">
        <f t="shared" si="6"/>
        <v>782102833.61009192</v>
      </c>
      <c r="U35" s="466">
        <f t="shared" si="7"/>
        <v>257841.2457600224</v>
      </c>
      <c r="V35" s="467">
        <f t="shared" si="8"/>
        <v>105724.51972771046</v>
      </c>
      <c r="W35" s="467">
        <f t="shared" si="9"/>
        <v>628823.93021318468</v>
      </c>
      <c r="X35" s="468">
        <f t="shared" si="10"/>
        <v>0.12165778775294245</v>
      </c>
      <c r="Y35" s="468">
        <f t="shared" si="11"/>
        <v>0.12165778775294245</v>
      </c>
      <c r="Z35" s="441">
        <f t="shared" si="12"/>
        <v>11.274736584128879</v>
      </c>
      <c r="AA35" s="471">
        <f t="shared" si="13"/>
        <v>12.451615475683758</v>
      </c>
      <c r="AB35" s="441">
        <f t="shared" si="14"/>
        <v>12.345291589425951</v>
      </c>
      <c r="AC35" s="802">
        <f t="shared" si="15"/>
        <v>91</v>
      </c>
      <c r="AD35" s="435">
        <f t="shared" si="16"/>
        <v>11.560108247357121</v>
      </c>
      <c r="AE35" s="441">
        <f t="shared" si="17"/>
        <v>13.343122704010394</v>
      </c>
      <c r="AF35" s="440"/>
      <c r="AG35" s="440"/>
    </row>
    <row r="36" spans="1:35">
      <c r="A36" s="455">
        <v>1988</v>
      </c>
      <c r="B36" s="440">
        <f t="shared" si="0"/>
        <v>1992</v>
      </c>
      <c r="C36" s="480">
        <f>VLOOKUP($A36,'Brd Tbl'!$A$8:$AX$64,6)</f>
        <v>9.8249464850406518</v>
      </c>
      <c r="D36" s="458">
        <f>VLOOKUP($A36,'Brd Tbl'!$A$8:$AX$64,17)</f>
        <v>12.379846726997387</v>
      </c>
      <c r="E36" s="461">
        <v>45</v>
      </c>
      <c r="F36" s="461">
        <v>43</v>
      </c>
      <c r="G36" s="462">
        <v>11.569626882497845</v>
      </c>
      <c r="H36" s="462">
        <v>7.8069745713489583E-2</v>
      </c>
      <c r="I36" s="463">
        <v>6.9210372000407874E-2</v>
      </c>
      <c r="J36" s="461">
        <v>12.336657956233612</v>
      </c>
      <c r="K36" s="461">
        <v>0.69505028208228214</v>
      </c>
      <c r="L36" s="461">
        <v>2.8740221516540435E-2</v>
      </c>
      <c r="M36" s="462">
        <v>0.50976272474161888</v>
      </c>
      <c r="N36" s="458">
        <f t="shared" si="1"/>
        <v>4.3188770763775253E-2</v>
      </c>
      <c r="O36" s="440">
        <f t="shared" si="2"/>
        <v>1.8652699200859279E-3</v>
      </c>
      <c r="P36" s="465">
        <f t="shared" si="3"/>
        <v>12.336657956233612</v>
      </c>
      <c r="Q36" s="440">
        <f t="shared" si="4"/>
        <v>11.445150727906976</v>
      </c>
      <c r="R36" s="440">
        <f t="shared" si="5"/>
        <v>13.228165184560249</v>
      </c>
      <c r="S36" s="466">
        <f t="shared" si="18"/>
        <v>10058.318740159011</v>
      </c>
      <c r="T36" s="440">
        <f t="shared" si="6"/>
        <v>101169775.87863396</v>
      </c>
      <c r="U36" s="466">
        <f t="shared" si="7"/>
        <v>227899.02937592968</v>
      </c>
      <c r="V36" s="467">
        <f t="shared" si="8"/>
        <v>93447.095154073031</v>
      </c>
      <c r="W36" s="467">
        <f t="shared" si="9"/>
        <v>555800.77160083945</v>
      </c>
      <c r="X36" s="468">
        <f t="shared" si="10"/>
        <v>-4.2269418531475693E-2</v>
      </c>
      <c r="Y36" s="468">
        <f t="shared" si="11"/>
        <v>4.2269418531475693E-2</v>
      </c>
      <c r="Z36" s="441">
        <f t="shared" si="12"/>
        <v>9.8249464850406518</v>
      </c>
      <c r="AA36" s="471">
        <f t="shared" si="13"/>
        <v>12.337905538627606</v>
      </c>
      <c r="AB36" s="441">
        <f t="shared" si="14"/>
        <v>12.379846726997387</v>
      </c>
      <c r="AC36" s="802">
        <f t="shared" si="15"/>
        <v>92</v>
      </c>
      <c r="AD36" s="435">
        <f t="shared" si="16"/>
        <v>11.446398310300969</v>
      </c>
      <c r="AE36" s="441">
        <f t="shared" si="17"/>
        <v>13.229412766954242</v>
      </c>
      <c r="AF36" s="440"/>
      <c r="AG36" s="440"/>
    </row>
    <row r="37" spans="1:35">
      <c r="A37" s="455">
        <v>1989</v>
      </c>
      <c r="B37" s="440">
        <f t="shared" si="0"/>
        <v>1993</v>
      </c>
      <c r="C37" s="480">
        <f>VLOOKUP($A37,'Brd Tbl'!$A$8:$AX$64,6)</f>
        <v>10.15702482649354</v>
      </c>
      <c r="D37" s="458">
        <f>VLOOKUP($A37,'Brd Tbl'!$A$8:$AX$64,17)</f>
        <v>12.428871221134534</v>
      </c>
      <c r="E37" s="461">
        <v>45</v>
      </c>
      <c r="F37" s="461">
        <v>43</v>
      </c>
      <c r="G37" s="462">
        <v>11.572892230040171</v>
      </c>
      <c r="H37" s="462">
        <v>7.7647382420007044E-2</v>
      </c>
      <c r="I37" s="463">
        <v>6.9444511478828755E-2</v>
      </c>
      <c r="J37" s="461">
        <v>12.361558620992421</v>
      </c>
      <c r="K37" s="461">
        <v>0.69500747721371181</v>
      </c>
      <c r="L37" s="461">
        <v>2.8252871590980406E-2</v>
      </c>
      <c r="M37" s="462">
        <v>0.50970348660344544</v>
      </c>
      <c r="N37" s="458">
        <f t="shared" si="1"/>
        <v>6.7312600142113155E-2</v>
      </c>
      <c r="O37" s="440">
        <f t="shared" si="2"/>
        <v>4.5309861378920119E-3</v>
      </c>
      <c r="P37" s="465">
        <f t="shared" si="3"/>
        <v>12.361558620992421</v>
      </c>
      <c r="Q37" s="440">
        <f t="shared" ref="Q37:Q57" si="19">$P37-(SQRT($O$62)*$Q$62)</f>
        <v>11.470051392665784</v>
      </c>
      <c r="R37" s="440">
        <f t="shared" si="5"/>
        <v>13.253065849319057</v>
      </c>
      <c r="S37" s="466">
        <f t="shared" ref="S37:S57" si="20">EXP(D37)*C37-U37</f>
        <v>2304735.2655640473</v>
      </c>
      <c r="T37" s="440">
        <f t="shared" si="6"/>
        <v>5311804644334.5791</v>
      </c>
      <c r="U37" s="466">
        <f t="shared" si="7"/>
        <v>233645.11042580075</v>
      </c>
      <c r="V37" s="467">
        <f t="shared" si="8"/>
        <v>95803.202523642336</v>
      </c>
      <c r="W37" s="467">
        <f t="shared" si="9"/>
        <v>569814.32966620172</v>
      </c>
      <c r="X37" s="468">
        <f t="shared" si="10"/>
        <v>-6.5097095127726406E-2</v>
      </c>
      <c r="Y37" s="468">
        <f t="shared" si="11"/>
        <v>6.5097095127726406E-2</v>
      </c>
      <c r="Z37" s="441">
        <f t="shared" si="12"/>
        <v>10.15702482649354</v>
      </c>
      <c r="AA37" s="471">
        <f t="shared" si="13"/>
        <v>12.363951107105461</v>
      </c>
      <c r="AB37" s="441">
        <f t="shared" si="14"/>
        <v>12.428871221134534</v>
      </c>
      <c r="AC37" s="802">
        <f t="shared" si="15"/>
        <v>93</v>
      </c>
      <c r="AD37" s="435">
        <f t="shared" si="16"/>
        <v>11.472443878778824</v>
      </c>
      <c r="AE37" s="441">
        <f t="shared" si="17"/>
        <v>13.255458335432097</v>
      </c>
      <c r="AF37" s="440"/>
      <c r="AG37" s="440"/>
    </row>
    <row r="38" spans="1:35" ht="18">
      <c r="A38" s="455">
        <v>1990</v>
      </c>
      <c r="B38" s="440">
        <f t="shared" si="0"/>
        <v>1994</v>
      </c>
      <c r="C38" s="480">
        <f>VLOOKUP($A38,'Brd Tbl'!$A$8:$AX$64,6)</f>
        <v>10.940255662011179</v>
      </c>
      <c r="D38" s="458">
        <f>VLOOKUP($A38,'Brd Tbl'!$A$8:$AX$64,17)</f>
        <v>12.258436364026526</v>
      </c>
      <c r="E38" s="461">
        <v>45</v>
      </c>
      <c r="F38" s="461">
        <v>43</v>
      </c>
      <c r="G38" s="462">
        <v>11.540320171791334</v>
      </c>
      <c r="H38" s="462">
        <v>8.1870773357285528E-2</v>
      </c>
      <c r="I38" s="463">
        <v>7.0293336830924827E-2</v>
      </c>
      <c r="J38" s="461">
        <v>12.436007363566612</v>
      </c>
      <c r="K38" s="461">
        <v>0.69458448760565572</v>
      </c>
      <c r="L38" s="461">
        <v>3.0582423635539382E-2</v>
      </c>
      <c r="M38" s="462">
        <v>0.5091034760758949</v>
      </c>
      <c r="N38" s="458">
        <f t="shared" si="1"/>
        <v>-0.17757099954008559</v>
      </c>
      <c r="O38" s="440">
        <f t="shared" si="2"/>
        <v>3.1531459877665077E-2</v>
      </c>
      <c r="P38" s="465">
        <f t="shared" si="3"/>
        <v>12.436007363566612</v>
      </c>
      <c r="Q38" s="440">
        <f t="shared" si="19"/>
        <v>11.544500135239975</v>
      </c>
      <c r="R38" s="440">
        <f t="shared" si="5"/>
        <v>13.327514591893248</v>
      </c>
      <c r="S38" s="466">
        <f t="shared" si="20"/>
        <v>2053974.8819127223</v>
      </c>
      <c r="T38" s="440">
        <f t="shared" si="6"/>
        <v>4218812815528.3813</v>
      </c>
      <c r="U38" s="466">
        <f t="shared" si="7"/>
        <v>251703.56974626833</v>
      </c>
      <c r="V38" s="467">
        <f t="shared" si="8"/>
        <v>103207.84382938509</v>
      </c>
      <c r="W38" s="467">
        <f t="shared" si="9"/>
        <v>613855.34928670188</v>
      </c>
      <c r="X38" s="468">
        <f t="shared" si="10"/>
        <v>0.19431285055541203</v>
      </c>
      <c r="Y38" s="468">
        <f t="shared" si="11"/>
        <v>0.19431285055541203</v>
      </c>
      <c r="Z38" s="441">
        <f t="shared" si="12"/>
        <v>10.940255662011179</v>
      </c>
      <c r="AA38" s="471">
        <f t="shared" si="13"/>
        <v>12.425381467999191</v>
      </c>
      <c r="AB38" s="441">
        <f t="shared" si="14"/>
        <v>12.258436364026526</v>
      </c>
      <c r="AC38" s="802">
        <f t="shared" si="15"/>
        <v>94</v>
      </c>
      <c r="AD38" s="435">
        <f t="shared" si="16"/>
        <v>11.533874239672555</v>
      </c>
      <c r="AE38" s="441">
        <f t="shared" si="17"/>
        <v>13.316888696325828</v>
      </c>
      <c r="AF38" s="440"/>
      <c r="AG38" s="440"/>
      <c r="AH38" s="54" t="s">
        <v>317</v>
      </c>
      <c r="AI38" s="440">
        <f>ROUND(L60,5)</f>
        <v>2.92E-2</v>
      </c>
    </row>
    <row r="39" spans="1:35">
      <c r="A39" s="455">
        <v>1991</v>
      </c>
      <c r="B39" s="440">
        <f t="shared" si="0"/>
        <v>1995</v>
      </c>
      <c r="C39" s="480">
        <f>VLOOKUP($A39,'Brd Tbl'!$A$8:$AX$64,6)</f>
        <v>10.970081997673907</v>
      </c>
      <c r="D39" s="458">
        <f>VLOOKUP($A39,'Brd Tbl'!$A$8:$AX$64,17)</f>
        <v>13.002996181295167</v>
      </c>
      <c r="E39" s="461">
        <v>45</v>
      </c>
      <c r="F39" s="461">
        <v>43</v>
      </c>
      <c r="G39" s="462">
        <v>11.662067014806043</v>
      </c>
      <c r="H39" s="462">
        <v>6.6387796792986453E-2</v>
      </c>
      <c r="I39" s="463">
        <v>6.9787521615931616E-2</v>
      </c>
      <c r="J39" s="461">
        <v>12.390346589270017</v>
      </c>
      <c r="K39" s="461">
        <v>0.68915940765539474</v>
      </c>
      <c r="L39" s="461">
        <v>2.0611402723137488E-2</v>
      </c>
      <c r="M39" s="462">
        <v>0.50146329690409674</v>
      </c>
      <c r="N39" s="458">
        <f t="shared" si="1"/>
        <v>0.61264959202515001</v>
      </c>
      <c r="O39" s="440">
        <f t="shared" si="2"/>
        <v>0.37533952260858278</v>
      </c>
      <c r="P39" s="465">
        <f t="shared" si="3"/>
        <v>12.390346589270017</v>
      </c>
      <c r="Q39" s="440">
        <f t="shared" si="19"/>
        <v>11.49883936094338</v>
      </c>
      <c r="R39" s="440">
        <f t="shared" si="5"/>
        <v>13.281853817596653</v>
      </c>
      <c r="S39" s="466">
        <f t="shared" si="20"/>
        <v>4627405.3629315756</v>
      </c>
      <c r="T39" s="440">
        <f t="shared" si="6"/>
        <v>21412880392887.906</v>
      </c>
      <c r="U39" s="466">
        <f t="shared" si="7"/>
        <v>240469.03058261846</v>
      </c>
      <c r="V39" s="467">
        <f t="shared" si="8"/>
        <v>98601.264094874699</v>
      </c>
      <c r="W39" s="467">
        <f t="shared" si="9"/>
        <v>586456.52467198006</v>
      </c>
      <c r="X39" s="468">
        <f t="shared" si="10"/>
        <v>-0.45808688348507476</v>
      </c>
      <c r="Y39" s="468">
        <f t="shared" si="11"/>
        <v>0.45808688348507476</v>
      </c>
      <c r="Z39" s="441">
        <f t="shared" si="12"/>
        <v>10.970081997673907</v>
      </c>
      <c r="AA39" s="471">
        <f t="shared" si="13"/>
        <v>12.427720807157982</v>
      </c>
      <c r="AB39" s="441">
        <f t="shared" si="14"/>
        <v>13.002996181295167</v>
      </c>
      <c r="AC39" s="802">
        <f t="shared" si="15"/>
        <v>95</v>
      </c>
      <c r="AD39" s="435">
        <f t="shared" si="16"/>
        <v>11.536213578831346</v>
      </c>
      <c r="AE39" s="441">
        <f t="shared" si="17"/>
        <v>13.319228035484619</v>
      </c>
      <c r="AF39" s="440"/>
      <c r="AG39" s="440"/>
      <c r="AH39" s="54" t="s">
        <v>202</v>
      </c>
      <c r="AI39" s="440">
        <f>ROUND(H60,5)</f>
        <v>7.843E-2</v>
      </c>
    </row>
    <row r="40" spans="1:35">
      <c r="A40" s="455">
        <v>1992</v>
      </c>
      <c r="B40" s="440">
        <f t="shared" si="0"/>
        <v>1996</v>
      </c>
      <c r="C40" s="480">
        <f>VLOOKUP($A40,'Brd Tbl'!$A$8:$AX$64,6)</f>
        <v>10.39143784195393</v>
      </c>
      <c r="D40" s="458">
        <f>VLOOKUP($A40,'Brd Tbl'!$A$8:$AX$64,17)</f>
        <v>13.133155005618168</v>
      </c>
      <c r="E40" s="461">
        <v>45</v>
      </c>
      <c r="F40" s="461">
        <v>43</v>
      </c>
      <c r="G40" s="462">
        <v>11.648435824574404</v>
      </c>
      <c r="H40" s="462">
        <v>6.7493356670124072E-2</v>
      </c>
      <c r="I40" s="463">
        <v>6.8675774587362654E-2</v>
      </c>
      <c r="J40" s="461">
        <v>12.349788845156825</v>
      </c>
      <c r="K40" s="461">
        <v>0.68517059693200399</v>
      </c>
      <c r="L40" s="461">
        <v>2.196844581347087E-2</v>
      </c>
      <c r="M40" s="462">
        <v>0.49616722982082206</v>
      </c>
      <c r="N40" s="458">
        <f t="shared" si="1"/>
        <v>0.78336616046134289</v>
      </c>
      <c r="O40" s="440">
        <f t="shared" si="2"/>
        <v>0.61366254135594644</v>
      </c>
      <c r="P40" s="465">
        <f t="shared" si="3"/>
        <v>12.349788845156825</v>
      </c>
      <c r="Q40" s="440">
        <f t="shared" si="19"/>
        <v>11.458281616830188</v>
      </c>
      <c r="R40" s="440">
        <f t="shared" si="5"/>
        <v>13.241296073483461</v>
      </c>
      <c r="S40" s="466">
        <f t="shared" si="20"/>
        <v>5021181.5441745566</v>
      </c>
      <c r="T40" s="440">
        <f t="shared" si="6"/>
        <v>25212264099559.184</v>
      </c>
      <c r="U40" s="466">
        <f t="shared" si="7"/>
        <v>230911.27969761088</v>
      </c>
      <c r="V40" s="467">
        <f t="shared" si="8"/>
        <v>94682.230043452961</v>
      </c>
      <c r="W40" s="467">
        <f t="shared" si="9"/>
        <v>563147.05586378649</v>
      </c>
      <c r="X40" s="468">
        <f t="shared" si="10"/>
        <v>-0.54313446268935095</v>
      </c>
      <c r="Y40" s="468">
        <f t="shared" si="11"/>
        <v>0.54313446268935095</v>
      </c>
      <c r="Z40" s="441">
        <f t="shared" si="12"/>
        <v>10.39143784195393</v>
      </c>
      <c r="AA40" s="471">
        <f t="shared" si="13"/>
        <v>12.382336588734772</v>
      </c>
      <c r="AB40" s="441">
        <f t="shared" si="14"/>
        <v>13.133155005618168</v>
      </c>
      <c r="AC40" s="802">
        <f t="shared" si="15"/>
        <v>96</v>
      </c>
      <c r="AD40" s="435">
        <f t="shared" si="16"/>
        <v>11.490829360408135</v>
      </c>
      <c r="AE40" s="441">
        <f t="shared" si="17"/>
        <v>13.273843817061408</v>
      </c>
      <c r="AF40" s="440"/>
      <c r="AG40" s="440"/>
      <c r="AH40" s="54" t="s">
        <v>182</v>
      </c>
      <c r="AI40" s="510">
        <f>X63</f>
        <v>0.3049632288459071</v>
      </c>
    </row>
    <row r="41" spans="1:35">
      <c r="A41" s="455">
        <v>1993</v>
      </c>
      <c r="B41" s="440">
        <f t="shared" si="0"/>
        <v>1997</v>
      </c>
      <c r="C41" s="480">
        <f>VLOOKUP($A41,'Brd Tbl'!$A$8:$AX$64,6)</f>
        <v>9.7087147148805393</v>
      </c>
      <c r="D41" s="458">
        <f>VLOOKUP($A41,'Brd Tbl'!$A$8:$AX$64,17)</f>
        <v>12.418977384077587</v>
      </c>
      <c r="E41" s="461">
        <v>45</v>
      </c>
      <c r="F41" s="461">
        <v>43</v>
      </c>
      <c r="G41" s="462">
        <v>11.571325102287711</v>
      </c>
      <c r="H41" s="462">
        <v>7.7760533728571196E-2</v>
      </c>
      <c r="I41" s="463">
        <v>6.9134819684692178E-2</v>
      </c>
      <c r="J41" s="461">
        <v>12.326279940335255</v>
      </c>
      <c r="K41" s="461">
        <v>0.69494071434462301</v>
      </c>
      <c r="L41" s="461">
        <v>2.8580073984525934E-2</v>
      </c>
      <c r="M41" s="462">
        <v>0.50961322371592399</v>
      </c>
      <c r="N41" s="458">
        <f t="shared" si="1"/>
        <v>9.2697443742332908E-2</v>
      </c>
      <c r="O41" s="440">
        <f t="shared" si="2"/>
        <v>8.5928160763629746E-3</v>
      </c>
      <c r="P41" s="465">
        <f t="shared" si="3"/>
        <v>12.326279940335255</v>
      </c>
      <c r="Q41" s="440">
        <f t="shared" si="19"/>
        <v>11.434772712008618</v>
      </c>
      <c r="R41" s="440">
        <f t="shared" si="5"/>
        <v>13.217787168661891</v>
      </c>
      <c r="S41" s="466">
        <f t="shared" si="20"/>
        <v>2176907.9221270066</v>
      </c>
      <c r="T41" s="440">
        <f t="shared" si="6"/>
        <v>4738928101419.3213</v>
      </c>
      <c r="U41" s="466">
        <f t="shared" si="7"/>
        <v>225546.12000920749</v>
      </c>
      <c r="V41" s="467">
        <f t="shared" si="8"/>
        <v>92482.314627876462</v>
      </c>
      <c r="W41" s="467">
        <f t="shared" si="9"/>
        <v>550062.48984899465</v>
      </c>
      <c r="X41" s="468">
        <f t="shared" si="10"/>
        <v>-8.8530770698734607E-2</v>
      </c>
      <c r="Y41" s="468">
        <f t="shared" si="11"/>
        <v>8.8530770698734607E-2</v>
      </c>
      <c r="Z41" s="441">
        <f t="shared" si="12"/>
        <v>9.7087147148805393</v>
      </c>
      <c r="AA41" s="471">
        <f t="shared" si="13"/>
        <v>12.328789248430049</v>
      </c>
      <c r="AB41" s="441">
        <f t="shared" si="14"/>
        <v>12.418977384077587</v>
      </c>
      <c r="AC41" s="802">
        <f t="shared" si="15"/>
        <v>97</v>
      </c>
      <c r="AD41" s="435">
        <f t="shared" si="16"/>
        <v>11.437282020103412</v>
      </c>
      <c r="AE41" s="441">
        <f t="shared" si="17"/>
        <v>13.220296476756685</v>
      </c>
      <c r="AF41" s="440"/>
      <c r="AG41" s="440"/>
      <c r="AH41" s="54"/>
      <c r="AI41" s="11"/>
    </row>
    <row r="42" spans="1:35">
      <c r="A42" s="455">
        <v>1994</v>
      </c>
      <c r="B42" s="440">
        <f t="shared" si="0"/>
        <v>1998</v>
      </c>
      <c r="C42" s="480">
        <f>VLOOKUP($A42,'Brd Tbl'!$A$8:$AX$64,6)</f>
        <v>11.904776138540297</v>
      </c>
      <c r="D42" s="458">
        <f>VLOOKUP($A42,'Brd Tbl'!$A$8:$AX$64,17)</f>
        <v>12.511596953312337</v>
      </c>
      <c r="E42" s="461">
        <v>45</v>
      </c>
      <c r="F42" s="461">
        <v>43</v>
      </c>
      <c r="G42" s="462">
        <v>11.57012003811673</v>
      </c>
      <c r="H42" s="462">
        <v>7.8090775213230795E-2</v>
      </c>
      <c r="I42" s="463">
        <v>7.2150784253021558E-2</v>
      </c>
      <c r="J42" s="461">
        <v>12.499773235515315</v>
      </c>
      <c r="K42" s="461">
        <v>0.69507849523593801</v>
      </c>
      <c r="L42" s="461">
        <v>2.6520143513538909E-2</v>
      </c>
      <c r="M42" s="462">
        <v>0.50980106851089779</v>
      </c>
      <c r="N42" s="458">
        <f t="shared" si="1"/>
        <v>1.1823717797021516E-2</v>
      </c>
      <c r="O42" s="440">
        <f t="shared" si="2"/>
        <v>1.3980030254360333E-4</v>
      </c>
      <c r="P42" s="465">
        <f t="shared" si="3"/>
        <v>12.499773235515315</v>
      </c>
      <c r="Q42" s="440">
        <f t="shared" si="19"/>
        <v>11.608266007188679</v>
      </c>
      <c r="R42" s="440">
        <f t="shared" si="5"/>
        <v>13.391280463841952</v>
      </c>
      <c r="S42" s="466">
        <f t="shared" si="20"/>
        <v>2963480.9403154776</v>
      </c>
      <c r="T42" s="440">
        <f t="shared" si="6"/>
        <v>8782219283613.1074</v>
      </c>
      <c r="U42" s="466">
        <f t="shared" si="7"/>
        <v>268276.44405309093</v>
      </c>
      <c r="V42" s="467">
        <f t="shared" si="8"/>
        <v>110003.33991625748</v>
      </c>
      <c r="W42" s="467">
        <f t="shared" si="9"/>
        <v>654273.32014247682</v>
      </c>
      <c r="X42" s="468">
        <f t="shared" si="10"/>
        <v>-1.1754092326553899E-2</v>
      </c>
      <c r="Y42" s="468">
        <f t="shared" si="11"/>
        <v>1.1754092326553899E-2</v>
      </c>
      <c r="Z42" s="441">
        <f t="shared" si="12"/>
        <v>11.904776138540297</v>
      </c>
      <c r="AA42" s="471">
        <f t="shared" si="13"/>
        <v>12.501030738017294</v>
      </c>
      <c r="AB42" s="441">
        <f t="shared" si="14"/>
        <v>12.511596953312337</v>
      </c>
      <c r="AC42" s="802">
        <f t="shared" si="15"/>
        <v>98</v>
      </c>
      <c r="AD42" s="435">
        <f t="shared" si="16"/>
        <v>11.609523509690657</v>
      </c>
      <c r="AE42" s="441">
        <f t="shared" si="17"/>
        <v>13.39253796634393</v>
      </c>
      <c r="AF42" s="440"/>
      <c r="AG42" s="440"/>
      <c r="AH42" s="54"/>
      <c r="AI42" s="11"/>
    </row>
    <row r="43" spans="1:35">
      <c r="A43" s="455">
        <v>1995</v>
      </c>
      <c r="B43" s="440">
        <f t="shared" si="0"/>
        <v>1999</v>
      </c>
      <c r="C43" s="480">
        <f>VLOOKUP($A43,'Brd Tbl'!$A$8:$AX$64,6)</f>
        <v>10.307167724513286</v>
      </c>
      <c r="D43" s="458">
        <f>VLOOKUP($A43,'Brd Tbl'!$A$8:$AX$64,17)</f>
        <v>12.2982204445282</v>
      </c>
      <c r="E43" s="461">
        <v>45</v>
      </c>
      <c r="F43" s="461">
        <v>43</v>
      </c>
      <c r="G43" s="462">
        <v>11.559561635091216</v>
      </c>
      <c r="H43" s="462">
        <v>7.9491590980827059E-2</v>
      </c>
      <c r="I43" s="463">
        <v>6.9575750022859623E-2</v>
      </c>
      <c r="J43" s="461">
        <v>12.378894796019008</v>
      </c>
      <c r="K43" s="461">
        <v>0.69497597510386344</v>
      </c>
      <c r="L43" s="461">
        <v>2.9462556257641621E-2</v>
      </c>
      <c r="M43" s="462">
        <v>0.5096595451623217</v>
      </c>
      <c r="N43" s="458">
        <f t="shared" si="1"/>
        <v>-8.0674351490808149E-2</v>
      </c>
      <c r="O43" s="440">
        <f t="shared" si="2"/>
        <v>6.508350988462459E-3</v>
      </c>
      <c r="P43" s="465">
        <f t="shared" si="3"/>
        <v>12.378894796019008</v>
      </c>
      <c r="Q43" s="440">
        <f t="shared" si="19"/>
        <v>11.487387567692371</v>
      </c>
      <c r="R43" s="440">
        <f t="shared" si="5"/>
        <v>13.270402024345644</v>
      </c>
      <c r="S43" s="466">
        <f t="shared" si="20"/>
        <v>2022686.3474848159</v>
      </c>
      <c r="T43" s="440">
        <f t="shared" si="6"/>
        <v>4091260060301.4653</v>
      </c>
      <c r="U43" s="466">
        <f t="shared" si="7"/>
        <v>237730.93692589417</v>
      </c>
      <c r="V43" s="467">
        <f t="shared" si="8"/>
        <v>97478.543655119705</v>
      </c>
      <c r="W43" s="467">
        <f t="shared" si="9"/>
        <v>579778.85442788084</v>
      </c>
      <c r="X43" s="468">
        <f t="shared" si="10"/>
        <v>8.401783029175558E-2</v>
      </c>
      <c r="Y43" s="468">
        <f t="shared" si="11"/>
        <v>8.401783029175558E-2</v>
      </c>
      <c r="Z43" s="441">
        <f t="shared" si="12"/>
        <v>10.307167724513286</v>
      </c>
      <c r="AA43" s="471">
        <f t="shared" si="13"/>
        <v>12.375727114883407</v>
      </c>
      <c r="AB43" s="441">
        <f t="shared" si="14"/>
        <v>12.2982204445282</v>
      </c>
      <c r="AC43" s="802">
        <f t="shared" si="15"/>
        <v>99</v>
      </c>
      <c r="AD43" s="435">
        <f t="shared" si="16"/>
        <v>11.484219886556771</v>
      </c>
      <c r="AE43" s="441">
        <f t="shared" si="17"/>
        <v>13.267234343210044</v>
      </c>
      <c r="AF43" s="440"/>
      <c r="AG43" s="440"/>
      <c r="AH43" s="54"/>
      <c r="AI43" s="11"/>
    </row>
    <row r="44" spans="1:35">
      <c r="A44" s="455">
        <v>1996</v>
      </c>
      <c r="B44" s="440">
        <f t="shared" si="0"/>
        <v>2000</v>
      </c>
      <c r="C44" s="480">
        <f>VLOOKUP($A44,'Brd Tbl'!$A$8:$AX$64,6)</f>
        <v>9.4491825260610103</v>
      </c>
      <c r="D44" s="458">
        <f>VLOOKUP($A44,'Brd Tbl'!$A$8:$AX$64,17)</f>
        <v>11.24254472532397</v>
      </c>
      <c r="E44" s="461">
        <v>45</v>
      </c>
      <c r="F44" s="461">
        <v>43</v>
      </c>
      <c r="G44" s="462">
        <v>11.545108176467789</v>
      </c>
      <c r="H44" s="462">
        <v>8.3552789879916073E-2</v>
      </c>
      <c r="I44" s="463">
        <v>6.7076926323434607E-2</v>
      </c>
      <c r="J44" s="461">
        <v>12.334613738604739</v>
      </c>
      <c r="K44" s="461">
        <v>0.67532709772947386</v>
      </c>
      <c r="L44" s="461">
        <v>3.48267095391874E-2</v>
      </c>
      <c r="M44" s="462">
        <v>0.48330162563388684</v>
      </c>
      <c r="N44" s="458">
        <f t="shared" si="1"/>
        <v>-1.0920690132807689</v>
      </c>
      <c r="O44" s="440">
        <f t="shared" si="2"/>
        <v>1.1926147297680321</v>
      </c>
      <c r="P44" s="465">
        <f t="shared" si="3"/>
        <v>12.334613738604739</v>
      </c>
      <c r="Q44" s="440">
        <f t="shared" si="19"/>
        <v>11.443106510278103</v>
      </c>
      <c r="R44" s="440">
        <f t="shared" si="5"/>
        <v>13.226120966931376</v>
      </c>
      <c r="S44" s="466">
        <f t="shared" si="20"/>
        <v>493623.00073446607</v>
      </c>
      <c r="T44" s="440">
        <f t="shared" si="6"/>
        <v>243663666854.09869</v>
      </c>
      <c r="U44" s="466">
        <f t="shared" si="7"/>
        <v>227433.63001333567</v>
      </c>
      <c r="V44" s="467">
        <f t="shared" si="8"/>
        <v>93256.264071377955</v>
      </c>
      <c r="W44" s="467">
        <f t="shared" si="9"/>
        <v>554665.75437175948</v>
      </c>
      <c r="X44" s="468">
        <f t="shared" si="10"/>
        <v>1.9804342556726269</v>
      </c>
      <c r="Y44" s="468">
        <f t="shared" si="11"/>
        <v>1.9804342556726269</v>
      </c>
      <c r="Z44" s="441">
        <f t="shared" si="12"/>
        <v>9.4491825260610103</v>
      </c>
      <c r="AA44" s="471">
        <f t="shared" si="13"/>
        <v>12.308433619795757</v>
      </c>
      <c r="AB44" s="441">
        <f t="shared" si="14"/>
        <v>11.24254472532397</v>
      </c>
      <c r="AC44" s="799" t="s">
        <v>315</v>
      </c>
      <c r="AD44" s="435">
        <f t="shared" si="16"/>
        <v>11.41692639146912</v>
      </c>
      <c r="AE44" s="441">
        <f t="shared" si="17"/>
        <v>13.199940848122393</v>
      </c>
      <c r="AF44" s="440"/>
      <c r="AG44" s="440"/>
      <c r="AH44" s="54"/>
      <c r="AI44" s="11"/>
    </row>
    <row r="45" spans="1:35">
      <c r="A45" s="455">
        <v>1997</v>
      </c>
      <c r="B45" s="440">
        <f t="shared" si="0"/>
        <v>2001</v>
      </c>
      <c r="C45" s="480">
        <f>VLOOKUP($A45,'Brd Tbl'!$A$8:$AX$64,6)</f>
        <v>9.0215762013225334</v>
      </c>
      <c r="D45" s="458">
        <f>VLOOKUP($A45,'Brd Tbl'!$A$8:$AX$64,17)</f>
        <v>11.519344460525044</v>
      </c>
      <c r="E45" s="461">
        <v>45</v>
      </c>
      <c r="F45" s="461">
        <v>43</v>
      </c>
      <c r="G45" s="462">
        <v>11.580778108989566</v>
      </c>
      <c r="H45" s="462">
        <v>7.8802860455884763E-2</v>
      </c>
      <c r="I45" s="463">
        <v>6.798546114403603E-2</v>
      </c>
      <c r="J45" s="461">
        <v>12.291704119474517</v>
      </c>
      <c r="K45" s="461">
        <v>0.68524880282646339</v>
      </c>
      <c r="L45" s="461">
        <v>3.0298523849277455E-2</v>
      </c>
      <c r="M45" s="462">
        <v>0.49654774312267541</v>
      </c>
      <c r="N45" s="458">
        <f t="shared" si="1"/>
        <v>-0.77235965894947256</v>
      </c>
      <c r="O45" s="440">
        <f t="shared" si="2"/>
        <v>0.59653944277254556</v>
      </c>
      <c r="P45" s="465">
        <f t="shared" si="3"/>
        <v>12.291704119474517</v>
      </c>
      <c r="Q45" s="440">
        <f t="shared" si="19"/>
        <v>11.40019689114788</v>
      </c>
      <c r="R45" s="440">
        <f t="shared" si="5"/>
        <v>13.183211347801153</v>
      </c>
      <c r="S45" s="466">
        <f t="shared" si="20"/>
        <v>690086.23569041956</v>
      </c>
      <c r="T45" s="440">
        <f t="shared" si="6"/>
        <v>476219012689.37329</v>
      </c>
      <c r="U45" s="466">
        <f t="shared" si="7"/>
        <v>217880.95605450583</v>
      </c>
      <c r="V45" s="467">
        <f t="shared" si="8"/>
        <v>89339.311748890832</v>
      </c>
      <c r="W45" s="467">
        <f t="shared" si="9"/>
        <v>531368.66718491225</v>
      </c>
      <c r="X45" s="468">
        <f t="shared" si="10"/>
        <v>1.1648685830654257</v>
      </c>
      <c r="Y45" s="468">
        <f t="shared" si="11"/>
        <v>1.1648685830654257</v>
      </c>
      <c r="Z45" s="441">
        <f t="shared" si="12"/>
        <v>9.0215762013225334</v>
      </c>
      <c r="AA45" s="471">
        <f t="shared" si="13"/>
        <v>12.274895600532552</v>
      </c>
      <c r="AB45" s="441">
        <f t="shared" si="14"/>
        <v>11.519344460525044</v>
      </c>
      <c r="AC45" s="799" t="s">
        <v>316</v>
      </c>
      <c r="AD45" s="435">
        <f t="shared" si="16"/>
        <v>11.383388372205916</v>
      </c>
      <c r="AE45" s="441">
        <f t="shared" si="17"/>
        <v>13.166402828859189</v>
      </c>
      <c r="AF45" s="440"/>
      <c r="AG45" s="440"/>
      <c r="AH45" s="54"/>
      <c r="AI45" s="11"/>
    </row>
    <row r="46" spans="1:35">
      <c r="A46" s="455">
        <v>1998</v>
      </c>
      <c r="B46" s="440">
        <f t="shared" si="0"/>
        <v>2002</v>
      </c>
      <c r="C46" s="480">
        <f>VLOOKUP($A46,'Brd Tbl'!$A$8:$AX$64,6)</f>
        <v>9.5921190125256324</v>
      </c>
      <c r="D46" s="458">
        <f>VLOOKUP($A46,'Brd Tbl'!$A$8:$AX$64,17)</f>
        <v>12.791219118371064</v>
      </c>
      <c r="E46" s="461">
        <v>45</v>
      </c>
      <c r="F46" s="461">
        <v>43</v>
      </c>
      <c r="G46" s="462">
        <v>11.583264868919608</v>
      </c>
      <c r="H46" s="462">
        <v>7.5482018945037088E-2</v>
      </c>
      <c r="I46" s="463">
        <v>6.8712996909813875E-2</v>
      </c>
      <c r="J46" s="461">
        <v>12.307297377946119</v>
      </c>
      <c r="K46" s="461">
        <v>0.69125242933441233</v>
      </c>
      <c r="L46" s="461">
        <v>2.7297373826546255E-2</v>
      </c>
      <c r="M46" s="462">
        <v>0.50460016960971188</v>
      </c>
      <c r="N46" s="458">
        <f t="shared" si="1"/>
        <v>0.48392174042494496</v>
      </c>
      <c r="O46" s="440">
        <f t="shared" si="2"/>
        <v>0.2341802508559078</v>
      </c>
      <c r="P46" s="465">
        <f t="shared" si="3"/>
        <v>12.307297377946119</v>
      </c>
      <c r="Q46" s="440">
        <f t="shared" si="19"/>
        <v>11.415790149619482</v>
      </c>
      <c r="R46" s="440">
        <f t="shared" si="5"/>
        <v>13.198804606272756</v>
      </c>
      <c r="S46" s="466">
        <f t="shared" si="20"/>
        <v>3222752.7989441925</v>
      </c>
      <c r="T46" s="440">
        <f t="shared" si="6"/>
        <v>10386135603102.627</v>
      </c>
      <c r="U46" s="466">
        <f t="shared" si="7"/>
        <v>221305.05718479716</v>
      </c>
      <c r="V46" s="467">
        <f t="shared" si="8"/>
        <v>90743.320818239241</v>
      </c>
      <c r="W46" s="467">
        <f t="shared" si="9"/>
        <v>539719.37431809609</v>
      </c>
      <c r="X46" s="468">
        <f t="shared" si="10"/>
        <v>-0.38363856379105477</v>
      </c>
      <c r="Y46" s="468">
        <f t="shared" si="11"/>
        <v>0.38363856379105477</v>
      </c>
      <c r="Z46" s="441">
        <f t="shared" si="12"/>
        <v>9.5921190125256324</v>
      </c>
      <c r="AA46" s="471">
        <f t="shared" si="13"/>
        <v>12.319644414302591</v>
      </c>
      <c r="AB46" s="441">
        <f t="shared" si="14"/>
        <v>12.791219118371064</v>
      </c>
      <c r="AC46" s="799" t="s">
        <v>324</v>
      </c>
      <c r="AD46" s="435">
        <f t="shared" si="16"/>
        <v>11.428137185975954</v>
      </c>
      <c r="AE46" s="441">
        <f t="shared" si="17"/>
        <v>13.211151642629227</v>
      </c>
      <c r="AF46" s="440"/>
      <c r="AG46" s="440"/>
      <c r="AH46" s="54"/>
      <c r="AI46" s="11"/>
    </row>
    <row r="47" spans="1:35">
      <c r="A47" s="455">
        <v>1999</v>
      </c>
      <c r="B47" s="440">
        <f t="shared" si="0"/>
        <v>2003</v>
      </c>
      <c r="C47" s="480">
        <f>VLOOKUP($A47,'Brd Tbl'!$A$8:$AX$64,6)</f>
        <v>8.9332970094275055</v>
      </c>
      <c r="D47" s="458">
        <f>VLOOKUP($A47,'Brd Tbl'!$A$8:$AX$64,17)</f>
        <v>12.514228118178037</v>
      </c>
      <c r="E47" s="461">
        <v>45</v>
      </c>
      <c r="F47" s="461">
        <v>43</v>
      </c>
      <c r="G47" s="462">
        <v>11.560964770530701</v>
      </c>
      <c r="H47" s="462">
        <v>7.8529864098358063E-2</v>
      </c>
      <c r="I47" s="463">
        <v>6.8857651850150414E-2</v>
      </c>
      <c r="J47" s="461">
        <v>12.262495370631312</v>
      </c>
      <c r="K47" s="461">
        <v>0.69404277478779763</v>
      </c>
      <c r="L47" s="461">
        <v>2.9359931262059411E-2</v>
      </c>
      <c r="M47" s="462">
        <v>0.508395966824567</v>
      </c>
      <c r="N47" s="458">
        <f t="shared" si="1"/>
        <v>0.25173274754672548</v>
      </c>
      <c r="O47" s="440">
        <f t="shared" si="2"/>
        <v>6.3369376187423415E-2</v>
      </c>
      <c r="P47" s="465">
        <f t="shared" si="3"/>
        <v>12.262495370631312</v>
      </c>
      <c r="Q47" s="440">
        <f t="shared" si="19"/>
        <v>11.370988142304675</v>
      </c>
      <c r="R47" s="440">
        <f t="shared" si="5"/>
        <v>13.154002598957948</v>
      </c>
      <c r="S47" s="466">
        <f t="shared" si="20"/>
        <v>2219878.2451435123</v>
      </c>
      <c r="T47" s="440">
        <f t="shared" si="6"/>
        <v>4927859423261.4395</v>
      </c>
      <c r="U47" s="466">
        <f t="shared" si="7"/>
        <v>211608.97026645136</v>
      </c>
      <c r="V47" s="467">
        <f t="shared" si="8"/>
        <v>86767.563837781825</v>
      </c>
      <c r="W47" s="467">
        <f t="shared" si="9"/>
        <v>516072.53121620702</v>
      </c>
      <c r="X47" s="468">
        <f t="shared" si="10"/>
        <v>-0.22254751360862232</v>
      </c>
      <c r="Y47" s="468">
        <f t="shared" si="11"/>
        <v>0.22254751360862232</v>
      </c>
      <c r="Z47" s="441">
        <f t="shared" si="12"/>
        <v>8.9332970094275055</v>
      </c>
      <c r="AA47" s="471">
        <f t="shared" si="13"/>
        <v>12.267971686953569</v>
      </c>
      <c r="AB47" s="441">
        <f t="shared" si="14"/>
        <v>12.514228118178037</v>
      </c>
      <c r="AC47" s="799" t="s">
        <v>349</v>
      </c>
      <c r="AD47" s="435">
        <f t="shared" si="16"/>
        <v>11.376464458626932</v>
      </c>
      <c r="AE47" s="441">
        <f t="shared" si="17"/>
        <v>13.159478915280205</v>
      </c>
      <c r="AF47" s="440"/>
      <c r="AG47" s="440"/>
      <c r="AH47" s="54"/>
      <c r="AI47" s="11"/>
    </row>
    <row r="48" spans="1:35">
      <c r="A48" s="455">
        <v>2000</v>
      </c>
      <c r="B48" s="440">
        <f t="shared" si="0"/>
        <v>2004</v>
      </c>
      <c r="C48" s="480">
        <f>VLOOKUP($A48,'Brd Tbl'!$A$8:$AX$64,6)</f>
        <v>9.6642080418653293</v>
      </c>
      <c r="D48" s="458">
        <f>VLOOKUP($A48,'Brd Tbl'!$A$8:$AX$64,17)</f>
        <v>13.125935222752243</v>
      </c>
      <c r="E48" s="461">
        <v>45</v>
      </c>
      <c r="F48" s="461">
        <v>43</v>
      </c>
      <c r="G48" s="462">
        <v>11.599656193095839</v>
      </c>
      <c r="H48" s="462">
        <v>7.2835217059979751E-2</v>
      </c>
      <c r="I48" s="463">
        <v>6.8022270827306414E-2</v>
      </c>
      <c r="J48" s="461">
        <v>12.303550883537902</v>
      </c>
      <c r="K48" s="461">
        <v>0.68397709664868089</v>
      </c>
      <c r="L48" s="461">
        <v>2.5970728858261346E-2</v>
      </c>
      <c r="M48" s="462">
        <v>0.4947749307090652</v>
      </c>
      <c r="N48" s="458">
        <f t="shared" si="1"/>
        <v>0.82238433921434151</v>
      </c>
      <c r="O48" s="440">
        <f t="shared" si="2"/>
        <v>0.67631600138500914</v>
      </c>
      <c r="P48" s="465">
        <f t="shared" si="3"/>
        <v>12.303550883537902</v>
      </c>
      <c r="Q48" s="440">
        <f t="shared" si="19"/>
        <v>11.412043655211265</v>
      </c>
      <c r="R48" s="440">
        <f t="shared" si="5"/>
        <v>13.195058111864538</v>
      </c>
      <c r="S48" s="466">
        <f t="shared" si="20"/>
        <v>4628916.9198848624</v>
      </c>
      <c r="T48" s="440">
        <f t="shared" si="6"/>
        <v>21426871851196.363</v>
      </c>
      <c r="U48" s="466">
        <f t="shared" si="7"/>
        <v>220477.49023101898</v>
      </c>
      <c r="V48" s="467">
        <f t="shared" si="8"/>
        <v>90403.987526264085</v>
      </c>
      <c r="W48" s="467">
        <f t="shared" si="9"/>
        <v>537701.10178433056</v>
      </c>
      <c r="X48" s="468">
        <f t="shared" si="10"/>
        <v>-0.56061723301034161</v>
      </c>
      <c r="Y48" s="468">
        <f t="shared" si="11"/>
        <v>0.56061723301034161</v>
      </c>
      <c r="Z48" s="441">
        <f t="shared" si="12"/>
        <v>9.6642080418653293</v>
      </c>
      <c r="AA48" s="471">
        <f t="shared" si="13"/>
        <v>12.325298501051984</v>
      </c>
      <c r="AB48" s="441">
        <f t="shared" si="14"/>
        <v>13.125935222752243</v>
      </c>
      <c r="AC48" s="799" t="s">
        <v>350</v>
      </c>
      <c r="AD48" s="435">
        <f t="shared" si="16"/>
        <v>11.433791272725347</v>
      </c>
      <c r="AE48" s="441">
        <f t="shared" si="17"/>
        <v>13.216805729378621</v>
      </c>
      <c r="AF48" s="440"/>
      <c r="AG48" s="440"/>
      <c r="AH48" s="54"/>
      <c r="AI48" s="11"/>
    </row>
    <row r="49" spans="1:35">
      <c r="A49" s="455">
        <v>2001</v>
      </c>
      <c r="B49" s="440">
        <f t="shared" si="0"/>
        <v>2005</v>
      </c>
      <c r="C49" s="480">
        <f>VLOOKUP($A49,'Brd Tbl'!$A$8:$AX$64,6)</f>
        <v>8.8309871049856525</v>
      </c>
      <c r="D49" s="458">
        <f>VLOOKUP($A49,'Brd Tbl'!$A$8:$AX$64,17)</f>
        <v>12.461291763994264</v>
      </c>
      <c r="E49" s="461">
        <v>45</v>
      </c>
      <c r="F49" s="461">
        <v>43</v>
      </c>
      <c r="G49" s="462">
        <v>11.56026188040194</v>
      </c>
      <c r="H49" s="462">
        <v>7.8719338494553232E-2</v>
      </c>
      <c r="I49" s="463">
        <v>6.889821787692392E-2</v>
      </c>
      <c r="J49" s="461">
        <v>12.255431343560341</v>
      </c>
      <c r="K49" s="461">
        <v>0.69438684688635044</v>
      </c>
      <c r="L49" s="461">
        <v>2.9463893497312297E-2</v>
      </c>
      <c r="M49" s="462">
        <v>0.5088624304575935</v>
      </c>
      <c r="N49" s="458">
        <f t="shared" si="1"/>
        <v>0.20586042043392361</v>
      </c>
      <c r="O49" s="440">
        <f t="shared" si="2"/>
        <v>4.2378512701231795E-2</v>
      </c>
      <c r="P49" s="465">
        <f t="shared" si="3"/>
        <v>12.255431343560341</v>
      </c>
      <c r="Q49" s="440">
        <f t="shared" si="19"/>
        <v>11.363924115233704</v>
      </c>
      <c r="R49" s="440">
        <f t="shared" si="5"/>
        <v>13.146938571886977</v>
      </c>
      <c r="S49" s="466">
        <f t="shared" si="20"/>
        <v>2069590.0323364192</v>
      </c>
      <c r="T49" s="440">
        <f t="shared" si="6"/>
        <v>4283202901946.2607</v>
      </c>
      <c r="U49" s="466">
        <f t="shared" si="7"/>
        <v>210119.42605641598</v>
      </c>
      <c r="V49" s="467">
        <f t="shared" si="8"/>
        <v>86156.795200844062</v>
      </c>
      <c r="W49" s="467">
        <f t="shared" si="9"/>
        <v>512439.82675257552</v>
      </c>
      <c r="X49" s="468">
        <f t="shared" si="10"/>
        <v>-0.18605332132133096</v>
      </c>
      <c r="Y49" s="468">
        <f t="shared" si="11"/>
        <v>0.18605332132133096</v>
      </c>
      <c r="Z49" s="441">
        <f t="shared" si="12"/>
        <v>8.8309871049856525</v>
      </c>
      <c r="AA49" s="471">
        <f t="shared" si="13"/>
        <v>12.259947316528072</v>
      </c>
      <c r="AB49" s="441">
        <f t="shared" si="14"/>
        <v>12.461291763994264</v>
      </c>
      <c r="AC49" s="799" t="s">
        <v>351</v>
      </c>
      <c r="AD49" s="435">
        <f t="shared" si="16"/>
        <v>11.368440088201435</v>
      </c>
      <c r="AE49" s="441">
        <f t="shared" si="17"/>
        <v>13.151454544854708</v>
      </c>
      <c r="AF49" s="440"/>
      <c r="AG49" s="440"/>
      <c r="AH49" s="54"/>
      <c r="AI49" s="11"/>
    </row>
    <row r="50" spans="1:35">
      <c r="A50" s="455">
        <v>2002</v>
      </c>
      <c r="B50" s="440">
        <f t="shared" si="0"/>
        <v>2006</v>
      </c>
      <c r="C50" s="480">
        <f>VLOOKUP($A50,'Brd Tbl'!$A$8:$AX$64,6)</f>
        <v>8.7144924910752639</v>
      </c>
      <c r="D50" s="458">
        <f>VLOOKUP($A50,'Brd Tbl'!$A$8:$AX$64,17)</f>
        <v>12.90210788889968</v>
      </c>
      <c r="E50" s="461">
        <v>45</v>
      </c>
      <c r="F50" s="461">
        <v>43</v>
      </c>
      <c r="G50" s="462">
        <v>11.537634027205764</v>
      </c>
      <c r="H50" s="462">
        <v>8.0125821309860679E-2</v>
      </c>
      <c r="I50" s="463">
        <v>6.8259036650047386E-2</v>
      </c>
      <c r="J50" s="461">
        <v>12.235889895351782</v>
      </c>
      <c r="K50" s="461">
        <v>0.68778352729848014</v>
      </c>
      <c r="L50" s="461">
        <v>3.1049721921213941E-2</v>
      </c>
      <c r="M50" s="462">
        <v>0.49994092151924341</v>
      </c>
      <c r="N50" s="458">
        <f t="shared" si="1"/>
        <v>0.66621799354789779</v>
      </c>
      <c r="O50" s="440">
        <f t="shared" si="2"/>
        <v>0.44384641492698679</v>
      </c>
      <c r="P50" s="465">
        <f t="shared" si="3"/>
        <v>12.235889895351782</v>
      </c>
      <c r="Q50" s="440">
        <f t="shared" si="19"/>
        <v>11.344382667025146</v>
      </c>
      <c r="R50" s="440">
        <f t="shared" si="5"/>
        <v>13.127397123678419</v>
      </c>
      <c r="S50" s="466">
        <f t="shared" si="20"/>
        <v>3289825.5013741506</v>
      </c>
      <c r="T50" s="440">
        <f t="shared" si="6"/>
        <v>10822951829491.682</v>
      </c>
      <c r="U50" s="466">
        <f t="shared" si="7"/>
        <v>206053.24708198657</v>
      </c>
      <c r="V50" s="467">
        <f t="shared" si="8"/>
        <v>84489.510287093013</v>
      </c>
      <c r="W50" s="467">
        <f t="shared" si="9"/>
        <v>502523.21842982998</v>
      </c>
      <c r="X50" s="468">
        <f t="shared" si="10"/>
        <v>-0.486352472822277</v>
      </c>
      <c r="Y50" s="468">
        <f t="shared" si="11"/>
        <v>0.486352472822277</v>
      </c>
      <c r="Z50" s="441">
        <f t="shared" si="12"/>
        <v>8.7144924910752639</v>
      </c>
      <c r="AA50" s="471">
        <f t="shared" si="13"/>
        <v>12.250810410969493</v>
      </c>
      <c r="AB50" s="441">
        <f t="shared" si="14"/>
        <v>12.90210788889968</v>
      </c>
      <c r="AC50" s="799" t="s">
        <v>361</v>
      </c>
      <c r="AD50" s="435">
        <f t="shared" si="16"/>
        <v>11.359303182642856</v>
      </c>
      <c r="AE50" s="441">
        <f t="shared" si="17"/>
        <v>13.142317639296129</v>
      </c>
      <c r="AF50" s="440"/>
      <c r="AG50" s="440"/>
      <c r="AH50" s="54"/>
      <c r="AI50" s="11"/>
    </row>
    <row r="51" spans="1:35">
      <c r="A51" s="455">
        <v>2003</v>
      </c>
      <c r="B51" s="440">
        <f t="shared" si="0"/>
        <v>2007</v>
      </c>
      <c r="C51" s="480">
        <f>VLOOKUP($A51,'Brd Tbl'!$A$8:$AX$64,6)</f>
        <v>8.5588084665941651</v>
      </c>
      <c r="D51" s="458">
        <f>VLOOKUP($A51,'Brd Tbl'!$A$8:$AX$64,17)</f>
        <v>11.881020630189884</v>
      </c>
      <c r="E51" s="461">
        <v>45</v>
      </c>
      <c r="F51" s="461">
        <v>43</v>
      </c>
      <c r="G51" s="462">
        <v>11.588662921123055</v>
      </c>
      <c r="H51" s="462">
        <v>7.6939972434426712E-2</v>
      </c>
      <c r="I51" s="463">
        <v>6.8801773306136155E-2</v>
      </c>
      <c r="J51" s="461">
        <v>12.247177408614348</v>
      </c>
      <c r="K51" s="461">
        <v>0.69288681279297559</v>
      </c>
      <c r="L51" s="461">
        <v>2.8260901441923857E-2</v>
      </c>
      <c r="M51" s="462">
        <v>0.50682482437570575</v>
      </c>
      <c r="N51" s="458">
        <f t="shared" si="1"/>
        <v>-0.36615677842446459</v>
      </c>
      <c r="O51" s="440">
        <f t="shared" si="2"/>
        <v>0.13407078638618244</v>
      </c>
      <c r="P51" s="465">
        <f t="shared" si="3"/>
        <v>12.247177408614348</v>
      </c>
      <c r="Q51" s="440">
        <f t="shared" si="19"/>
        <v>11.355670180287712</v>
      </c>
      <c r="R51" s="440">
        <f t="shared" si="5"/>
        <v>13.138684636940985</v>
      </c>
      <c r="S51" s="466">
        <f t="shared" si="20"/>
        <v>1028338.0639376685</v>
      </c>
      <c r="T51" s="440">
        <f t="shared" si="6"/>
        <v>1057479173743.0723</v>
      </c>
      <c r="U51" s="466">
        <f t="shared" si="7"/>
        <v>208392.25178056632</v>
      </c>
      <c r="V51" s="467">
        <f t="shared" si="8"/>
        <v>85448.589381166108</v>
      </c>
      <c r="W51" s="467">
        <f t="shared" si="9"/>
        <v>508227.58943925705</v>
      </c>
      <c r="X51" s="468">
        <f t="shared" si="10"/>
        <v>0.44218132784778486</v>
      </c>
      <c r="Y51" s="468">
        <f t="shared" si="11"/>
        <v>0.44218132784778486</v>
      </c>
      <c r="Z51" s="441">
        <f t="shared" si="12"/>
        <v>8.5588084665941651</v>
      </c>
      <c r="AA51" s="471">
        <f t="shared" si="13"/>
        <v>12.238599801560913</v>
      </c>
      <c r="AB51" s="441">
        <f t="shared" si="14"/>
        <v>11.881020630189884</v>
      </c>
      <c r="AC51" s="799" t="s">
        <v>362</v>
      </c>
      <c r="AD51" s="435">
        <f t="shared" si="16"/>
        <v>11.347092573234276</v>
      </c>
      <c r="AE51" s="441">
        <f t="shared" si="17"/>
        <v>13.130107029887549</v>
      </c>
      <c r="AF51" s="440"/>
      <c r="AG51" s="440"/>
      <c r="AH51" s="54"/>
      <c r="AI51" s="11"/>
    </row>
    <row r="52" spans="1:35">
      <c r="A52" s="455">
        <v>2004</v>
      </c>
      <c r="B52" s="440">
        <f t="shared" si="0"/>
        <v>2008</v>
      </c>
      <c r="C52" s="480">
        <f>VLOOKUP($A52,'Brd Tbl'!$A$8:$AX$64,6)</f>
        <v>10.097964899274954</v>
      </c>
      <c r="D52" s="458">
        <f>VLOOKUP($A52,'Brd Tbl'!$A$8:$AX$64,17)</f>
        <v>11.545882550464155</v>
      </c>
      <c r="E52" s="461">
        <v>45</v>
      </c>
      <c r="F52" s="461">
        <v>43</v>
      </c>
      <c r="G52" s="462">
        <v>11.501928285929216</v>
      </c>
      <c r="H52" s="462">
        <v>8.7759824700183495E-2</v>
      </c>
      <c r="I52" s="463">
        <v>6.8249548052182057E-2</v>
      </c>
      <c r="J52" s="461">
        <v>12.388123915318191</v>
      </c>
      <c r="K52" s="461">
        <v>0.68352339746578794</v>
      </c>
      <c r="L52" s="461">
        <v>3.7028565145967071E-2</v>
      </c>
      <c r="M52" s="462">
        <v>0.49404038592492766</v>
      </c>
      <c r="N52" s="458">
        <f t="shared" si="1"/>
        <v>-0.84224136485403633</v>
      </c>
      <c r="O52" s="440">
        <f t="shared" si="2"/>
        <v>0.70937051667119</v>
      </c>
      <c r="P52" s="465">
        <f t="shared" si="3"/>
        <v>12.388123915318191</v>
      </c>
      <c r="Q52" s="440">
        <f t="shared" si="19"/>
        <v>11.496616686991555</v>
      </c>
      <c r="R52" s="440">
        <f t="shared" si="5"/>
        <v>13.279631143644828</v>
      </c>
      <c r="S52" s="466">
        <f t="shared" si="20"/>
        <v>803695.77893772523</v>
      </c>
      <c r="T52" s="440">
        <f t="shared" si="6"/>
        <v>645926905082.31689</v>
      </c>
      <c r="U52" s="466">
        <f t="shared" si="7"/>
        <v>239935.13988439317</v>
      </c>
      <c r="V52" s="467">
        <f t="shared" si="8"/>
        <v>98382.349012105129</v>
      </c>
      <c r="W52" s="467">
        <f t="shared" si="9"/>
        <v>585154.47058760456</v>
      </c>
      <c r="X52" s="468">
        <f t="shared" si="10"/>
        <v>1.3215646230467726</v>
      </c>
      <c r="Y52" s="468">
        <f t="shared" si="11"/>
        <v>1.3215646230467726</v>
      </c>
      <c r="Z52" s="441">
        <f t="shared" si="12"/>
        <v>10.097964899274954</v>
      </c>
      <c r="AA52" s="471">
        <f t="shared" si="13"/>
        <v>12.359318918893671</v>
      </c>
      <c r="AB52" s="441">
        <f t="shared" si="14"/>
        <v>11.545882550464155</v>
      </c>
      <c r="AC52" s="799" t="s">
        <v>363</v>
      </c>
      <c r="AD52" s="435">
        <f t="shared" si="16"/>
        <v>11.467811690567034</v>
      </c>
      <c r="AE52" s="441">
        <f t="shared" si="17"/>
        <v>13.250826147220307</v>
      </c>
      <c r="AF52" s="440"/>
      <c r="AG52" s="440"/>
      <c r="AH52" s="54"/>
      <c r="AI52" s="11"/>
    </row>
    <row r="53" spans="1:35">
      <c r="A53" s="455">
        <v>2005</v>
      </c>
      <c r="B53" s="440">
        <f t="shared" si="0"/>
        <v>2009</v>
      </c>
      <c r="C53" s="480">
        <f>VLOOKUP($A53,'Brd Tbl'!$A$8:$AX$64,6)</f>
        <v>7.8876004921868139</v>
      </c>
      <c r="D53" s="458">
        <f>VLOOKUP($A53,'Brd Tbl'!$A$8:$AX$64,17)</f>
        <v>12.761895949735445</v>
      </c>
      <c r="E53" s="461">
        <v>45</v>
      </c>
      <c r="F53" s="461">
        <v>43</v>
      </c>
      <c r="G53" s="462">
        <v>11.497260139631624</v>
      </c>
      <c r="H53" s="462">
        <v>8.4796021559840062E-2</v>
      </c>
      <c r="I53" s="463">
        <v>6.879699184710894E-2</v>
      </c>
      <c r="J53" s="461">
        <v>12.166097281022502</v>
      </c>
      <c r="K53" s="461">
        <v>0.68931626680062152</v>
      </c>
      <c r="L53" s="461">
        <v>3.4124382578122732E-2</v>
      </c>
      <c r="M53" s="462">
        <v>0.50191581843672928</v>
      </c>
      <c r="N53" s="458">
        <f t="shared" si="1"/>
        <v>0.59579866871294307</v>
      </c>
      <c r="O53" s="440">
        <f t="shared" si="2"/>
        <v>0.35497605364011531</v>
      </c>
      <c r="P53" s="465">
        <f t="shared" si="3"/>
        <v>12.166097281022502</v>
      </c>
      <c r="Q53" s="440">
        <f t="shared" si="19"/>
        <v>11.274590052695865</v>
      </c>
      <c r="R53" s="440">
        <f t="shared" si="5"/>
        <v>13.057604509349138</v>
      </c>
      <c r="S53" s="466">
        <f t="shared" si="20"/>
        <v>2558047.6198057123</v>
      </c>
      <c r="T53" s="440">
        <f t="shared" si="6"/>
        <v>6543607625193.6699</v>
      </c>
      <c r="U53" s="466">
        <f t="shared" si="7"/>
        <v>192162.62179294758</v>
      </c>
      <c r="V53" s="467">
        <f t="shared" si="8"/>
        <v>78793.836256848561</v>
      </c>
      <c r="W53" s="467">
        <f t="shared" si="9"/>
        <v>468646.72376108431</v>
      </c>
      <c r="X53" s="468">
        <f t="shared" si="10"/>
        <v>-0.44887777403050283</v>
      </c>
      <c r="Y53" s="468">
        <f t="shared" si="11"/>
        <v>0.44887777403050283</v>
      </c>
      <c r="Z53" s="441">
        <f t="shared" si="12"/>
        <v>7.8876004921868139</v>
      </c>
      <c r="AA53" s="471">
        <f t="shared" si="13"/>
        <v>12.185955617710128</v>
      </c>
      <c r="AB53" s="441">
        <f t="shared" si="14"/>
        <v>12.761895949735445</v>
      </c>
      <c r="AC53" s="799" t="s">
        <v>363</v>
      </c>
      <c r="AD53" s="435">
        <f t="shared" si="16"/>
        <v>11.294448389383492</v>
      </c>
      <c r="AE53" s="441">
        <f t="shared" si="17"/>
        <v>13.077462846036765</v>
      </c>
      <c r="AF53" s="440"/>
      <c r="AG53" s="440"/>
      <c r="AH53" s="54"/>
      <c r="AI53" s="11"/>
    </row>
    <row r="54" spans="1:35">
      <c r="A54" s="455">
        <v>2006</v>
      </c>
      <c r="B54" s="440">
        <f t="shared" si="0"/>
        <v>2010</v>
      </c>
      <c r="C54" s="480">
        <f>VLOOKUP($A54,'Brd Tbl'!$A$8:$AX$64,6)</f>
        <v>7.408557997551882</v>
      </c>
      <c r="D54" s="458">
        <f>VLOOKUP($A54,'Brd Tbl'!$A$8:$AX$64,17)</f>
        <v>12.923364923755361</v>
      </c>
      <c r="E54" s="461">
        <v>45</v>
      </c>
      <c r="F54" s="461">
        <v>43</v>
      </c>
      <c r="G54" s="462">
        <v>11.437452480682957</v>
      </c>
      <c r="H54" s="462">
        <v>9.0937174986794655E-2</v>
      </c>
      <c r="I54" s="463">
        <v>6.8759032517938301E-2</v>
      </c>
      <c r="J54" s="461">
        <v>12.111165815706149</v>
      </c>
      <c r="K54" s="461">
        <v>0.68446979174146338</v>
      </c>
      <c r="L54" s="461">
        <v>3.9087577449200848E-2</v>
      </c>
      <c r="M54" s="462">
        <v>0.49514489982615562</v>
      </c>
      <c r="N54" s="458">
        <f t="shared" si="1"/>
        <v>0.81219910804921192</v>
      </c>
      <c r="O54" s="440">
        <f t="shared" si="2"/>
        <v>0.65966739111593542</v>
      </c>
      <c r="P54" s="465">
        <f t="shared" si="3"/>
        <v>12.111165815706149</v>
      </c>
      <c r="Q54" s="440">
        <f t="shared" si="19"/>
        <v>11.219658587379513</v>
      </c>
      <c r="R54" s="440">
        <f t="shared" si="5"/>
        <v>13.002673044032786</v>
      </c>
      <c r="S54" s="466">
        <f t="shared" si="20"/>
        <v>2853954.6198320878</v>
      </c>
      <c r="T54" s="440">
        <f t="shared" si="6"/>
        <v>8145056972060.917</v>
      </c>
      <c r="U54" s="466">
        <f t="shared" si="7"/>
        <v>181891.5329703349</v>
      </c>
      <c r="V54" s="467">
        <f t="shared" si="8"/>
        <v>74582.307067053785</v>
      </c>
      <c r="W54" s="467">
        <f t="shared" si="9"/>
        <v>443597.56445390632</v>
      </c>
      <c r="X54" s="468">
        <f t="shared" si="10"/>
        <v>-0.55611914983557231</v>
      </c>
      <c r="Y54" s="468">
        <f t="shared" si="11"/>
        <v>0.55611914983557231</v>
      </c>
      <c r="Z54" s="441">
        <f t="shared" si="12"/>
        <v>7.408557997551882</v>
      </c>
      <c r="AA54" s="471">
        <f t="shared" si="13"/>
        <v>12.148383356769445</v>
      </c>
      <c r="AB54" s="441">
        <f t="shared" si="14"/>
        <v>12.923364923755361</v>
      </c>
      <c r="AC54" s="799" t="s">
        <v>363</v>
      </c>
      <c r="AD54" s="435">
        <f t="shared" si="16"/>
        <v>11.256876128442808</v>
      </c>
      <c r="AE54" s="441">
        <f t="shared" si="17"/>
        <v>13.039890585096082</v>
      </c>
      <c r="AF54" s="440"/>
      <c r="AG54" s="440"/>
      <c r="AH54" s="54"/>
      <c r="AI54" s="11"/>
    </row>
    <row r="55" spans="1:35">
      <c r="A55" s="455">
        <v>2007</v>
      </c>
      <c r="B55" s="440">
        <f t="shared" si="0"/>
        <v>2011</v>
      </c>
      <c r="C55" s="480">
        <f>VLOOKUP($A55,'Brd Tbl'!$A$8:$AX$64,6)</f>
        <v>8.8710681588590035</v>
      </c>
      <c r="D55" s="458">
        <f>VLOOKUP($A55,'Brd Tbl'!$A$8:$AX$64,17)</f>
        <v>13.000595114838205</v>
      </c>
      <c r="E55" s="461">
        <v>45</v>
      </c>
      <c r="F55" s="461">
        <v>43</v>
      </c>
      <c r="G55" s="462">
        <v>11.544150776026125</v>
      </c>
      <c r="H55" s="462">
        <v>7.9186934563777928E-2</v>
      </c>
      <c r="I55" s="463">
        <v>6.803446990753087E-2</v>
      </c>
      <c r="J55" s="461">
        <v>12.246623469832507</v>
      </c>
      <c r="K55" s="461">
        <v>0.68571528825672068</v>
      </c>
      <c r="L55" s="461">
        <v>3.0542826465244342E-2</v>
      </c>
      <c r="M55" s="462">
        <v>0.49717143648489648</v>
      </c>
      <c r="N55" s="458">
        <f t="shared" si="1"/>
        <v>0.75397164500569858</v>
      </c>
      <c r="O55" s="440">
        <f t="shared" si="2"/>
        <v>0.56847324147259914</v>
      </c>
      <c r="P55" s="465">
        <f t="shared" si="3"/>
        <v>12.246623469832507</v>
      </c>
      <c r="Q55" s="440">
        <f t="shared" si="19"/>
        <v>11.35511624150587</v>
      </c>
      <c r="R55" s="440">
        <f t="shared" si="5"/>
        <v>13.138130698159143</v>
      </c>
      <c r="S55" s="466">
        <f t="shared" si="20"/>
        <v>3718738.8377488684</v>
      </c>
      <c r="T55" s="440">
        <f t="shared" si="6"/>
        <v>13829018543381.805</v>
      </c>
      <c r="U55" s="466">
        <f t="shared" si="7"/>
        <v>208276.84719695797</v>
      </c>
      <c r="V55" s="467">
        <f t="shared" si="8"/>
        <v>85401.269201105679</v>
      </c>
      <c r="W55" s="467">
        <f t="shared" si="9"/>
        <v>507946.140427423</v>
      </c>
      <c r="X55" s="468">
        <f t="shared" si="10"/>
        <v>-0.52950579889981664</v>
      </c>
      <c r="Y55" s="468">
        <f t="shared" si="11"/>
        <v>0.52950579889981664</v>
      </c>
      <c r="Z55" s="441">
        <f t="shared" si="12"/>
        <v>8.8710681588590035</v>
      </c>
      <c r="AA55" s="471">
        <f t="shared" si="13"/>
        <v>12.263090953745589</v>
      </c>
      <c r="AB55" s="441">
        <f t="shared" si="14"/>
        <v>13.000595114838205</v>
      </c>
      <c r="AC55" s="799" t="s">
        <v>363</v>
      </c>
      <c r="AD55" s="435">
        <f t="shared" si="16"/>
        <v>11.371583725418953</v>
      </c>
      <c r="AE55" s="441">
        <f t="shared" si="17"/>
        <v>13.154598182072226</v>
      </c>
      <c r="AF55" s="440"/>
      <c r="AG55" s="440"/>
      <c r="AH55" s="54"/>
      <c r="AI55" s="11"/>
    </row>
    <row r="56" spans="1:35">
      <c r="A56" s="455">
        <v>2008</v>
      </c>
      <c r="B56" s="440">
        <f t="shared" si="0"/>
        <v>2012</v>
      </c>
      <c r="C56" s="480">
        <f>VLOOKUP($A56,'Brd Tbl'!$A$8:$AX$64,6)</f>
        <v>7.1740783512018949</v>
      </c>
      <c r="D56" s="458">
        <f>VLOOKUP($A56,'Brd Tbl'!$A$8:$AX$64,17)</f>
        <v>13.030386808710347</v>
      </c>
      <c r="E56" s="461">
        <v>45</v>
      </c>
      <c r="F56" s="461">
        <v>43</v>
      </c>
      <c r="G56" s="462">
        <v>11.395497929572434</v>
      </c>
      <c r="H56" s="462">
        <v>9.5275737527914794E-2</v>
      </c>
      <c r="I56" s="463">
        <v>6.8650031566241637E-2</v>
      </c>
      <c r="J56" s="461">
        <v>12.079013535566242</v>
      </c>
      <c r="K56" s="461">
        <v>0.68059961454041384</v>
      </c>
      <c r="L56" s="461">
        <v>4.2873037245419861E-2</v>
      </c>
      <c r="M56" s="462">
        <v>0.4896905950764448</v>
      </c>
      <c r="N56" s="458">
        <f t="shared" si="1"/>
        <v>0.95137327314410491</v>
      </c>
      <c r="O56" s="440">
        <f t="shared" si="2"/>
        <v>0.90511110485292767</v>
      </c>
      <c r="P56" s="465">
        <f t="shared" si="3"/>
        <v>12.079013535566242</v>
      </c>
      <c r="Q56" s="440">
        <f t="shared" si="19"/>
        <v>11.187506307239605</v>
      </c>
      <c r="R56" s="440">
        <f t="shared" si="5"/>
        <v>12.970520763892878</v>
      </c>
      <c r="S56" s="466">
        <f t="shared" si="20"/>
        <v>3095697.2433209447</v>
      </c>
      <c r="T56" s="440">
        <f t="shared" si="6"/>
        <v>9583341422304.8965</v>
      </c>
      <c r="U56" s="466">
        <f t="shared" si="7"/>
        <v>176136.32280002843</v>
      </c>
      <c r="V56" s="467">
        <f t="shared" si="8"/>
        <v>72222.456417891168</v>
      </c>
      <c r="W56" s="467">
        <f t="shared" si="9"/>
        <v>429561.74226484011</v>
      </c>
      <c r="X56" s="468">
        <f t="shared" si="10"/>
        <v>-0.61378971310019514</v>
      </c>
      <c r="Y56" s="468">
        <f t="shared" si="11"/>
        <v>0.61378971310019514</v>
      </c>
      <c r="Z56" s="441">
        <f t="shared" si="12"/>
        <v>7.1740783512018949</v>
      </c>
      <c r="AA56" s="471">
        <f t="shared" si="13"/>
        <v>12.129992649146201</v>
      </c>
      <c r="AB56" s="441">
        <f t="shared" si="14"/>
        <v>13.030386808710347</v>
      </c>
      <c r="AC56" s="799" t="s">
        <v>363</v>
      </c>
      <c r="AD56" s="435">
        <f t="shared" si="16"/>
        <v>11.238485420819565</v>
      </c>
      <c r="AE56" s="441">
        <f t="shared" si="17"/>
        <v>13.021499877472838</v>
      </c>
      <c r="AF56" s="440"/>
      <c r="AG56" s="440"/>
      <c r="AH56" s="54"/>
      <c r="AI56" s="11"/>
    </row>
    <row r="57" spans="1:35">
      <c r="A57" s="455">
        <v>2009</v>
      </c>
      <c r="B57" s="440">
        <f t="shared" si="0"/>
        <v>2013</v>
      </c>
      <c r="C57" s="480">
        <f>VLOOKUP($A57,'Brd Tbl'!$A$8:$AX$64,6)</f>
        <v>7.9677926218453861</v>
      </c>
      <c r="D57" s="458">
        <f>VLOOKUP($A57,'Brd Tbl'!$A$8:$AX$64,17)</f>
        <v>13.385855647136685</v>
      </c>
      <c r="E57" s="461">
        <v>45</v>
      </c>
      <c r="F57" s="461">
        <v>43</v>
      </c>
      <c r="G57" s="462">
        <v>11.431106756773692</v>
      </c>
      <c r="H57" s="462">
        <v>9.0625702804646713E-2</v>
      </c>
      <c r="I57" s="463">
        <v>6.6813658850681537E-2</v>
      </c>
      <c r="J57" s="461">
        <v>12.15319356293011</v>
      </c>
      <c r="K57" s="461">
        <v>0.67001516076849288</v>
      </c>
      <c r="L57" s="461">
        <v>4.103066256994977E-2</v>
      </c>
      <c r="M57" s="462">
        <v>0.47603849043227658</v>
      </c>
      <c r="N57" s="458">
        <f t="shared" si="1"/>
        <v>1.2326620842065754</v>
      </c>
      <c r="O57" s="440">
        <f t="shared" si="2"/>
        <v>1.5194558138404983</v>
      </c>
      <c r="P57" s="465">
        <f t="shared" si="3"/>
        <v>12.15319356293011</v>
      </c>
      <c r="Q57" s="440">
        <f t="shared" si="19"/>
        <v>11.261686334603473</v>
      </c>
      <c r="R57" s="440">
        <f t="shared" si="5"/>
        <v>13.044700791256746</v>
      </c>
      <c r="S57" s="466">
        <f t="shared" si="20"/>
        <v>4995211.5741545707</v>
      </c>
      <c r="T57" s="440">
        <f t="shared" si="6"/>
        <v>24952138670567.785</v>
      </c>
      <c r="U57" s="466">
        <f t="shared" si="7"/>
        <v>189698.93901219571</v>
      </c>
      <c r="V57" s="467">
        <f t="shared" si="8"/>
        <v>77783.634502708534</v>
      </c>
      <c r="W57" s="467">
        <f t="shared" si="9"/>
        <v>462638.28750634781</v>
      </c>
      <c r="X57" s="468">
        <f t="shared" si="10"/>
        <v>-0.70848449499852428</v>
      </c>
      <c r="Y57" s="468">
        <f t="shared" si="11"/>
        <v>0.70848449499852428</v>
      </c>
      <c r="Z57" s="441">
        <f t="shared" si="12"/>
        <v>7.9677926218453861</v>
      </c>
      <c r="AA57" s="471">
        <f t="shared" si="13"/>
        <v>12.192245246823756</v>
      </c>
      <c r="AB57" s="441">
        <f t="shared" si="14"/>
        <v>13.385855647136685</v>
      </c>
      <c r="AC57" s="799" t="s">
        <v>363</v>
      </c>
      <c r="AD57" s="435">
        <f t="shared" si="16"/>
        <v>11.300738018497119</v>
      </c>
      <c r="AE57" s="441">
        <f t="shared" si="17"/>
        <v>13.083752475150392</v>
      </c>
      <c r="AF57" s="440"/>
      <c r="AG57" s="440"/>
      <c r="AH57" s="54"/>
      <c r="AI57" s="11"/>
    </row>
    <row r="58" spans="1:35">
      <c r="A58" s="455">
        <v>2010</v>
      </c>
      <c r="B58" s="440">
        <f t="shared" si="0"/>
        <v>2014</v>
      </c>
      <c r="C58" s="480">
        <f>VLOOKUP($A58,'Brd Tbl'!$A$8:$AX$64,6)</f>
        <v>7.4025896323361646</v>
      </c>
      <c r="D58" s="458">
        <f>VLOOKUP($A58,'Brd Tbl'!$A$8:$AX$64,17)</f>
        <v>13.454435293186728</v>
      </c>
      <c r="E58" s="461">
        <v>45</v>
      </c>
      <c r="F58" s="461">
        <v>43</v>
      </c>
      <c r="G58" s="462">
        <v>11.347618969108703</v>
      </c>
      <c r="H58" s="462">
        <v>9.9598653505229215E-2</v>
      </c>
      <c r="I58" s="463">
        <v>6.6756727196115973E-2</v>
      </c>
      <c r="J58" s="461">
        <v>12.084906928941155</v>
      </c>
      <c r="K58" s="461">
        <v>0.6644734861631999</v>
      </c>
      <c r="L58" s="461">
        <v>4.9218581230491339E-2</v>
      </c>
      <c r="M58" s="481">
        <v>0.46812399872932864</v>
      </c>
      <c r="N58" s="458">
        <f t="shared" si="1"/>
        <v>1.3695283642455731</v>
      </c>
      <c r="O58" s="440">
        <f t="shared" si="2"/>
        <v>1.8756079404731552</v>
      </c>
      <c r="P58" s="465">
        <f t="shared" si="3"/>
        <v>12.084906928941155</v>
      </c>
      <c r="Q58" s="440">
        <f>$P58-SQRT($O$62)*$Q$62</f>
        <v>11.193399700614519</v>
      </c>
      <c r="R58" s="440">
        <f t="shared" si="5"/>
        <v>12.976414157267792</v>
      </c>
      <c r="S58" s="466">
        <f>EXP(D58)-$E$58</f>
        <v>696881.54247166822</v>
      </c>
      <c r="T58" s="440">
        <f t="shared" si="6"/>
        <v>485643884237.69153</v>
      </c>
      <c r="U58" s="466">
        <f t="shared" si="7"/>
        <v>177177.42824655844</v>
      </c>
      <c r="V58" s="467">
        <f t="shared" si="8"/>
        <v>72649.348449830606</v>
      </c>
      <c r="W58" s="467">
        <f t="shared" si="9"/>
        <v>432100.79305449798</v>
      </c>
      <c r="X58" s="468">
        <f t="shared" si="10"/>
        <v>-0.74577316625337009</v>
      </c>
      <c r="Y58" s="468">
        <f t="shared" si="11"/>
        <v>0.74577316625337009</v>
      </c>
      <c r="Z58" s="441">
        <f t="shared" si="12"/>
        <v>7.4025896323361646</v>
      </c>
      <c r="AA58" s="471">
        <f t="shared" si="13"/>
        <v>12.147915245948829</v>
      </c>
      <c r="AB58" s="441">
        <f t="shared" si="14"/>
        <v>13.454435293186728</v>
      </c>
      <c r="AC58" s="799" t="s">
        <v>476</v>
      </c>
      <c r="AD58" s="435">
        <f t="shared" si="16"/>
        <v>11.256408017622192</v>
      </c>
      <c r="AE58" s="441">
        <f t="shared" si="17"/>
        <v>13.039422474275465</v>
      </c>
      <c r="AF58" s="440"/>
      <c r="AG58" s="440"/>
      <c r="AH58" s="54"/>
      <c r="AI58" s="11"/>
    </row>
    <row r="59" spans="1:35">
      <c r="A59" s="134"/>
      <c r="B59" s="440"/>
      <c r="C59" s="458"/>
      <c r="D59" s="458"/>
      <c r="E59" s="461"/>
      <c r="F59" s="461"/>
      <c r="G59" s="462"/>
      <c r="H59" s="462"/>
      <c r="I59" s="461"/>
      <c r="J59" s="461"/>
      <c r="K59" s="461"/>
      <c r="L59" s="461"/>
      <c r="M59" s="464"/>
      <c r="N59" s="458"/>
      <c r="O59" s="440"/>
      <c r="P59" s="465"/>
      <c r="Q59" s="440"/>
      <c r="R59" s="440"/>
      <c r="S59" s="466"/>
      <c r="T59" s="440"/>
      <c r="U59" s="466"/>
      <c r="V59" s="467"/>
      <c r="W59" s="467"/>
      <c r="X59" s="469"/>
      <c r="Y59" s="468"/>
      <c r="Z59" s="471"/>
      <c r="AA59" s="471"/>
      <c r="AB59" s="473"/>
      <c r="AC59" s="800"/>
      <c r="AD59" s="435"/>
      <c r="AE59" s="441"/>
      <c r="AF59" s="440"/>
      <c r="AG59" s="440"/>
    </row>
    <row r="60" spans="1:35">
      <c r="A60" s="455">
        <v>2011</v>
      </c>
      <c r="B60" s="440">
        <f>A60+4</f>
        <v>2015</v>
      </c>
      <c r="C60" s="480">
        <f>VLOOKUP($A60,'Brd Tbl'!$A$8:$AX$64,6)</f>
        <v>9.3065749938277289</v>
      </c>
      <c r="D60" s="440"/>
      <c r="E60" s="461">
        <v>46</v>
      </c>
      <c r="F60" s="461">
        <v>44</v>
      </c>
      <c r="G60" s="462">
        <v>11.567315335882645</v>
      </c>
      <c r="H60" s="462">
        <v>7.843200000307908E-2</v>
      </c>
      <c r="I60" s="463">
        <v>6.8171933294198683E-2</v>
      </c>
      <c r="J60" s="461">
        <v>12.297248625827198</v>
      </c>
      <c r="K60" s="461">
        <v>0.68713654619509157</v>
      </c>
      <c r="L60" s="461">
        <v>2.9204543168505664E-2</v>
      </c>
      <c r="M60" s="462">
        <v>0.49872147572375963</v>
      </c>
      <c r="N60" s="458"/>
      <c r="O60" s="440"/>
      <c r="P60" s="465">
        <f>J60</f>
        <v>12.297248625827198</v>
      </c>
      <c r="Q60" s="440">
        <f>$P60-(SQRT(O63)*Q63)</f>
        <v>11.377067225245181</v>
      </c>
      <c r="R60" s="440">
        <f>$P60+SQRT(O63)*Q63</f>
        <v>13.217430026409215</v>
      </c>
      <c r="S60" s="466">
        <f>EXP(D60)-$E$60</f>
        <v>-45</v>
      </c>
      <c r="T60" s="440">
        <f>S60^2</f>
        <v>2025</v>
      </c>
      <c r="U60" s="485">
        <f>EXP(P60)</f>
        <v>219092.3535968111</v>
      </c>
      <c r="V60" s="899">
        <f>EXP(Q60)</f>
        <v>87296.637567101774</v>
      </c>
      <c r="W60" s="899">
        <f>EXP(R60)</f>
        <v>549866.0743684785</v>
      </c>
      <c r="X60" s="468"/>
      <c r="Y60" s="468"/>
      <c r="Z60" s="471">
        <f>C60</f>
        <v>9.3065749938277289</v>
      </c>
      <c r="AA60" s="471">
        <f>(+G60+H60*C60)</f>
        <v>12.297248625827198</v>
      </c>
      <c r="AB60" s="473"/>
      <c r="AC60" s="799" t="s">
        <v>477</v>
      </c>
      <c r="AD60" s="435">
        <f>AA60-SQRT(O63)*Q63</f>
        <v>11.377067225245181</v>
      </c>
      <c r="AE60" s="441">
        <f>AA60+SQRT(O63)*Q63</f>
        <v>13.217430026409215</v>
      </c>
      <c r="AF60" s="440">
        <f>AA60</f>
        <v>12.297248625827198</v>
      </c>
      <c r="AG60" s="440"/>
    </row>
    <row r="61" spans="1:35">
      <c r="A61" s="178"/>
      <c r="B61" s="42"/>
      <c r="C61" s="180"/>
      <c r="D61" s="42"/>
      <c r="E61" s="42"/>
      <c r="F61" s="42"/>
      <c r="G61" s="42"/>
      <c r="H61" s="42"/>
      <c r="I61" s="42"/>
      <c r="J61" s="42"/>
      <c r="K61" s="42"/>
      <c r="L61" s="42"/>
      <c r="M61" s="173"/>
      <c r="N61" s="180"/>
      <c r="O61" s="42"/>
      <c r="P61" s="42"/>
      <c r="Q61" s="42"/>
      <c r="R61" s="42"/>
      <c r="S61" s="42"/>
      <c r="T61" s="42"/>
      <c r="U61" s="42"/>
      <c r="V61" s="42"/>
      <c r="W61" s="42"/>
      <c r="X61" s="49"/>
      <c r="Y61" s="468"/>
      <c r="Z61" s="27"/>
      <c r="AA61" s="49"/>
      <c r="AB61" s="49"/>
      <c r="AC61" s="49"/>
      <c r="AD61" s="42"/>
      <c r="AE61" s="49"/>
    </row>
    <row r="62" spans="1:35">
      <c r="A62" s="23"/>
      <c r="C62" s="10"/>
      <c r="E62" s="54" t="s">
        <v>184</v>
      </c>
      <c r="F62" s="440">
        <f>F58</f>
        <v>43</v>
      </c>
      <c r="M62" s="220" t="s">
        <v>185</v>
      </c>
      <c r="O62" s="924">
        <f>AVERAGE(INDEX(O$13:O$59,COUNT(O$13:O$59)-1,0):INDEX(O$13:O$59,(COUNT(O$13:O$59)-(COUNT(O$13:O$59)-1)),0))</f>
        <v>0.46812399872932864</v>
      </c>
      <c r="P62" s="54" t="s">
        <v>186</v>
      </c>
      <c r="Q62" s="440">
        <f>VLOOKUP(F62,ttab!$A$4:$G$44,4)</f>
        <v>1.3029999999999999</v>
      </c>
      <c r="X62" s="47"/>
      <c r="Y62" s="227"/>
      <c r="Z62" s="23"/>
    </row>
    <row r="63" spans="1:35">
      <c r="A63" s="23"/>
      <c r="E63" s="54" t="s">
        <v>184</v>
      </c>
      <c r="F63" s="440">
        <f>F60</f>
        <v>44</v>
      </c>
      <c r="M63" s="220" t="s">
        <v>188</v>
      </c>
      <c r="O63" s="458">
        <f>AVERAGEA(O13:O59)</f>
        <v>0.49872147572375963</v>
      </c>
      <c r="P63" s="54" t="s">
        <v>186</v>
      </c>
      <c r="Q63" s="440">
        <f>VLOOKUP(F63,ttab!$A$4:$G$44,4)</f>
        <v>1.3029999999999999</v>
      </c>
      <c r="S63" s="54" t="s">
        <v>189</v>
      </c>
      <c r="T63" s="440">
        <f>AVERAGEA(T13:T59)</f>
        <v>4170878699424.8198</v>
      </c>
      <c r="W63" t="s">
        <v>190</v>
      </c>
      <c r="X63" s="486">
        <f>AVERAGEA(X13:X59)</f>
        <v>0.3049632288459071</v>
      </c>
      <c r="Y63" s="486">
        <f>AVERAGEA(Y13:Y59)</f>
        <v>0.70234695162940564</v>
      </c>
      <c r="Z63" s="23"/>
    </row>
    <row r="64" spans="1:35">
      <c r="A64" s="42"/>
      <c r="B64" s="42"/>
      <c r="C64" s="42"/>
      <c r="D64" s="42"/>
      <c r="E64" s="42"/>
      <c r="F64" s="42"/>
      <c r="G64" s="42"/>
      <c r="H64" s="42"/>
      <c r="I64" s="42"/>
      <c r="J64" s="42"/>
      <c r="K64" s="42"/>
      <c r="L64" s="42"/>
      <c r="M64" s="173"/>
      <c r="N64" s="180"/>
      <c r="O64" s="42"/>
      <c r="P64" s="42"/>
      <c r="Q64" s="42"/>
      <c r="R64" s="42"/>
      <c r="S64" s="42"/>
      <c r="T64" s="42"/>
      <c r="U64" s="42"/>
      <c r="V64" s="42"/>
      <c r="W64" s="42"/>
      <c r="X64" s="49"/>
      <c r="Y64" s="227"/>
    </row>
    <row r="66" spans="13:14" ht="15" customHeight="1">
      <c r="M66"/>
      <c r="N66"/>
    </row>
    <row r="67" spans="13:14" ht="15" customHeight="1">
      <c r="M67"/>
      <c r="N67"/>
    </row>
    <row r="68" spans="13:14" ht="15" customHeight="1">
      <c r="M68"/>
      <c r="N68"/>
    </row>
    <row r="69" spans="13:14" ht="15" customHeight="1">
      <c r="M69"/>
      <c r="N69"/>
    </row>
    <row r="70" spans="13:14" ht="15" customHeight="1">
      <c r="M70"/>
      <c r="N70"/>
    </row>
    <row r="71" spans="13:14" ht="15" customHeight="1">
      <c r="M71"/>
      <c r="N71"/>
    </row>
    <row r="72" spans="13:14" ht="15" customHeight="1">
      <c r="M72"/>
      <c r="N72"/>
    </row>
    <row r="73" spans="13:14" ht="15" customHeight="1">
      <c r="M73"/>
      <c r="N73"/>
    </row>
    <row r="74" spans="13:14" ht="15" customHeight="1">
      <c r="M74"/>
      <c r="N74"/>
    </row>
    <row r="75" spans="13:14" ht="15" customHeight="1">
      <c r="M75"/>
      <c r="N75"/>
    </row>
    <row r="76" spans="13:14" ht="15" customHeight="1">
      <c r="M76"/>
      <c r="N76"/>
    </row>
    <row r="77" spans="13:14" ht="15" customHeight="1">
      <c r="M77"/>
      <c r="N77"/>
    </row>
    <row r="78" spans="13:14" ht="15" customHeight="1">
      <c r="M78"/>
      <c r="N78"/>
    </row>
    <row r="79" spans="13:14" ht="15" customHeight="1">
      <c r="M79"/>
      <c r="N79"/>
    </row>
    <row r="80" spans="13:14" ht="15" customHeight="1">
      <c r="M80"/>
      <c r="N80"/>
    </row>
    <row r="81" spans="13:14" ht="15" customHeight="1">
      <c r="M81"/>
      <c r="N81"/>
    </row>
    <row r="82" spans="13:14" ht="15" customHeight="1">
      <c r="M82"/>
      <c r="N82"/>
    </row>
    <row r="83" spans="13:14" ht="15" customHeight="1">
      <c r="M83"/>
      <c r="N83"/>
    </row>
    <row r="84" spans="13:14" ht="15" customHeight="1">
      <c r="M84"/>
      <c r="N84"/>
    </row>
    <row r="85" spans="13:14" ht="15" customHeight="1">
      <c r="M85"/>
      <c r="N85"/>
    </row>
    <row r="86" spans="13:14" ht="15" customHeight="1">
      <c r="M86"/>
      <c r="N86"/>
    </row>
    <row r="87" spans="13:14">
      <c r="M87"/>
      <c r="N87"/>
    </row>
    <row r="88" spans="13:14">
      <c r="M88"/>
      <c r="N88"/>
    </row>
    <row r="89" spans="13:14">
      <c r="M89"/>
      <c r="N89"/>
    </row>
    <row r="90" spans="13:14">
      <c r="M90"/>
      <c r="N90"/>
    </row>
    <row r="91" spans="13:14">
      <c r="M91"/>
      <c r="N91"/>
    </row>
    <row r="92" spans="13:14">
      <c r="M92"/>
      <c r="N92"/>
    </row>
    <row r="93" spans="13:14">
      <c r="M93"/>
      <c r="N93"/>
    </row>
    <row r="94" spans="13:14">
      <c r="M94"/>
      <c r="N94"/>
    </row>
    <row r="95" spans="13:14">
      <c r="M95"/>
      <c r="N95"/>
    </row>
    <row r="96" spans="13:14">
      <c r="M96"/>
      <c r="N96"/>
    </row>
    <row r="97" spans="13:14">
      <c r="M97"/>
      <c r="N97"/>
    </row>
    <row r="98" spans="13:14">
      <c r="M98"/>
    </row>
    <row r="99" spans="13:14">
      <c r="M99"/>
    </row>
    <row r="100" spans="13:14">
      <c r="M100"/>
    </row>
    <row r="101" spans="13:14">
      <c r="M101"/>
    </row>
    <row r="102" spans="13:14">
      <c r="M102"/>
    </row>
    <row r="103" spans="13:14">
      <c r="M103"/>
    </row>
    <row r="104" spans="13:14">
      <c r="M104"/>
    </row>
    <row r="105" spans="13:14">
      <c r="M105"/>
    </row>
    <row r="106" spans="13:14">
      <c r="M106"/>
    </row>
    <row r="107" spans="13:14">
      <c r="M107"/>
    </row>
    <row r="108" spans="13:14">
      <c r="M108"/>
    </row>
    <row r="109" spans="13:14">
      <c r="M109"/>
    </row>
    <row r="110" spans="13:14">
      <c r="M110"/>
    </row>
    <row r="111" spans="13:14">
      <c r="M111"/>
    </row>
    <row r="112" spans="13:14">
      <c r="M112"/>
    </row>
    <row r="113" spans="13:13">
      <c r="M113"/>
    </row>
    <row r="114" spans="13:13">
      <c r="M114"/>
    </row>
    <row r="115" spans="13:13">
      <c r="M115"/>
    </row>
    <row r="116" spans="13:13">
      <c r="M116"/>
    </row>
    <row r="117" spans="13:13">
      <c r="M117"/>
    </row>
    <row r="118" spans="13:13">
      <c r="M118"/>
    </row>
    <row r="1048" spans="2:2">
      <c r="B1048" s="440">
        <f>A13+$H$4</f>
        <v>1969</v>
      </c>
    </row>
  </sheetData>
  <sortState ref="A13:AE58">
    <sortCondition ref="B13"/>
  </sortState>
  <phoneticPr fontId="60" type="noConversion"/>
  <pageMargins left="0.55000000000000004" right="0.50800000000000001" top="0.5" bottom="1" header="0.5" footer="0.5"/>
  <pageSetup scale="59" orientation="portrait" horizontalDpi="300" verticalDpi="300" r:id="rId1"/>
  <headerFooter alignWithMargins="0"/>
  <rowBreaks count="1" manualBreakCount="1">
    <brk id="86" max="16383" man="1"/>
  </rowBreaks>
  <drawing r:id="rId2"/>
  <legacyDrawing r:id="rId3"/>
  <controls>
    <mc:AlternateContent xmlns:mc="http://schemas.openxmlformats.org/markup-compatibility/2006">
      <mc:Choice Requires="x14">
        <control shapeId="6299" r:id="rId4" name="CommandButton1">
          <controlPr defaultSize="0" autoLine="0" r:id="rId5">
            <anchor moveWithCells="1">
              <from>
                <xdr:col>8</xdr:col>
                <xdr:colOff>438150</xdr:colOff>
                <xdr:row>2</xdr:row>
                <xdr:rowOff>9525</xdr:rowOff>
              </from>
              <to>
                <xdr:col>12</xdr:col>
                <xdr:colOff>838200</xdr:colOff>
                <xdr:row>6</xdr:row>
                <xdr:rowOff>38100</xdr:rowOff>
              </to>
            </anchor>
          </controlPr>
        </control>
      </mc:Choice>
      <mc:Fallback>
        <control shapeId="6299" r:id="rId4" name="CommandButto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F68"/>
  <sheetViews>
    <sheetView topLeftCell="A13" zoomScale="75" workbookViewId="0">
      <selection activeCell="P62" sqref="P62"/>
    </sheetView>
  </sheetViews>
  <sheetFormatPr defaultRowHeight="15"/>
  <cols>
    <col min="1" max="1" width="7.33203125" customWidth="1"/>
    <col min="2" max="2" width="8.21875" customWidth="1"/>
    <col min="3" max="3" width="11.21875" bestFit="1" customWidth="1"/>
    <col min="4" max="4" width="12.21875" bestFit="1" customWidth="1"/>
    <col min="5" max="5" width="6.6640625" customWidth="1"/>
    <col min="6" max="6" width="6.33203125" customWidth="1"/>
    <col min="7" max="7" width="14.109375" customWidth="1"/>
    <col min="9" max="9" width="15.109375" customWidth="1"/>
    <col min="10" max="10" width="12.33203125" customWidth="1"/>
    <col min="13" max="13" width="16.109375" customWidth="1"/>
    <col min="14" max="14" width="14.77734375" customWidth="1"/>
    <col min="15" max="15" width="17.21875" customWidth="1"/>
    <col min="16" max="16" width="11.77734375" customWidth="1"/>
    <col min="17" max="17" width="11.6640625" customWidth="1"/>
    <col min="18" max="18" width="10.6640625" bestFit="1" customWidth="1"/>
    <col min="19" max="20" width="11" customWidth="1"/>
    <col min="22" max="22" width="11.44140625" customWidth="1"/>
    <col min="23" max="23" width="13" bestFit="1" customWidth="1"/>
    <col min="26" max="27" width="9.109375" bestFit="1" customWidth="1"/>
  </cols>
  <sheetData>
    <row r="1" spans="1:32">
      <c r="A1" t="s">
        <v>0</v>
      </c>
      <c r="B1" s="440" t="str">
        <f ca="1">CELL("filename",B2)</f>
        <v>O:\DCF\SALMON\FORECAST\2015\[2015_Copper River Wild Sockeye forecast_FINAL.xlsm]13=BYE</v>
      </c>
      <c r="C1" s="2"/>
      <c r="D1" s="127"/>
      <c r="G1" t="s">
        <v>319</v>
      </c>
      <c r="H1" s="127"/>
      <c r="I1" s="147"/>
      <c r="J1" s="127"/>
      <c r="M1" s="116"/>
      <c r="O1" s="116"/>
      <c r="P1" s="127"/>
      <c r="U1" s="2"/>
    </row>
    <row r="2" spans="1:32">
      <c r="C2" s="2"/>
      <c r="D2" s="127"/>
      <c r="G2" s="148" t="s">
        <v>154</v>
      </c>
      <c r="H2" s="149" t="s">
        <v>203</v>
      </c>
      <c r="I2" s="147"/>
      <c r="J2" s="127"/>
      <c r="M2" s="116"/>
      <c r="O2" s="116"/>
      <c r="P2" s="127"/>
      <c r="U2" s="2"/>
    </row>
    <row r="3" spans="1:32">
      <c r="C3" s="2"/>
      <c r="D3" s="127"/>
      <c r="G3" s="148" t="s">
        <v>155</v>
      </c>
      <c r="H3" s="149" t="s">
        <v>320</v>
      </c>
      <c r="I3" s="147"/>
      <c r="J3" s="127"/>
      <c r="M3" s="116"/>
      <c r="O3" s="116"/>
      <c r="P3" s="127"/>
      <c r="U3" s="2"/>
    </row>
    <row r="4" spans="1:32">
      <c r="C4" s="2"/>
      <c r="D4" s="127"/>
      <c r="G4" s="54" t="s">
        <v>253</v>
      </c>
      <c r="H4" s="241">
        <v>5</v>
      </c>
      <c r="I4" s="147"/>
      <c r="J4" s="127"/>
      <c r="M4" s="116"/>
      <c r="O4" s="116"/>
      <c r="P4" s="127"/>
      <c r="U4" s="2"/>
    </row>
    <row r="5" spans="1:32">
      <c r="B5" s="13"/>
      <c r="C5" s="2"/>
      <c r="D5" s="127"/>
      <c r="G5" s="127"/>
      <c r="I5" s="147"/>
      <c r="J5" s="127"/>
      <c r="M5" s="116"/>
      <c r="O5" s="116"/>
      <c r="P5" s="127"/>
      <c r="U5" s="2"/>
    </row>
    <row r="6" spans="1:32">
      <c r="B6" s="13"/>
      <c r="C6" s="2"/>
      <c r="D6" s="127"/>
      <c r="G6" s="127"/>
      <c r="I6" s="147"/>
      <c r="J6" s="127"/>
      <c r="M6" s="116"/>
      <c r="O6" s="116"/>
      <c r="P6" s="127"/>
      <c r="U6" s="2"/>
    </row>
    <row r="7" spans="1:32">
      <c r="C7" s="2"/>
      <c r="D7" s="127"/>
      <c r="G7" s="127"/>
      <c r="I7" s="147"/>
      <c r="J7" s="127"/>
      <c r="M7" s="116"/>
      <c r="O7" s="116"/>
      <c r="P7" s="127"/>
      <c r="U7" s="2"/>
    </row>
    <row r="8" spans="1:32">
      <c r="C8" s="2"/>
      <c r="D8" s="127"/>
      <c r="G8" s="127"/>
      <c r="I8" s="147"/>
      <c r="J8" s="127"/>
      <c r="M8" s="116"/>
      <c r="O8" s="116"/>
      <c r="P8" s="127"/>
      <c r="U8" s="2"/>
      <c r="V8" t="s">
        <v>156</v>
      </c>
    </row>
    <row r="9" spans="1:32">
      <c r="A9" s="123"/>
      <c r="B9" s="123"/>
      <c r="C9" s="150" t="s">
        <v>157</v>
      </c>
      <c r="D9" s="151"/>
      <c r="E9" s="121"/>
      <c r="F9" s="119"/>
      <c r="G9" s="152"/>
      <c r="H9" s="119" t="s">
        <v>158</v>
      </c>
      <c r="I9" s="154"/>
      <c r="J9" s="152"/>
      <c r="K9" s="119"/>
      <c r="L9" s="119"/>
      <c r="M9" s="181"/>
      <c r="N9" s="121" t="s">
        <v>159</v>
      </c>
      <c r="O9" s="182"/>
      <c r="P9" s="152"/>
      <c r="Q9" s="119"/>
      <c r="R9" s="126"/>
      <c r="S9" s="415" t="s">
        <v>109</v>
      </c>
      <c r="T9" s="415" t="s">
        <v>329</v>
      </c>
      <c r="U9" s="205" t="s">
        <v>161</v>
      </c>
      <c r="V9" s="164" t="s">
        <v>162</v>
      </c>
      <c r="W9" s="164" t="s">
        <v>163</v>
      </c>
      <c r="X9" s="164" t="s">
        <v>164</v>
      </c>
      <c r="Y9" s="158" t="s">
        <v>25</v>
      </c>
      <c r="Z9" s="159"/>
    </row>
    <row r="10" spans="1:32">
      <c r="A10" s="100" t="s">
        <v>23</v>
      </c>
      <c r="B10" s="100" t="s">
        <v>29</v>
      </c>
      <c r="C10" s="206" t="s">
        <v>165</v>
      </c>
      <c r="D10" s="207" t="s">
        <v>166</v>
      </c>
      <c r="E10" s="123"/>
      <c r="F10" s="123"/>
      <c r="G10" s="133"/>
      <c r="H10" s="123"/>
      <c r="I10" s="208" t="s">
        <v>167</v>
      </c>
      <c r="J10" s="207" t="s">
        <v>168</v>
      </c>
      <c r="K10" s="209" t="s">
        <v>167</v>
      </c>
      <c r="L10" s="123"/>
      <c r="M10" s="221" t="s">
        <v>169</v>
      </c>
      <c r="N10" s="123"/>
      <c r="O10" s="183"/>
      <c r="P10" s="211" t="s">
        <v>24</v>
      </c>
      <c r="Q10" s="122" t="s">
        <v>170</v>
      </c>
      <c r="R10" s="122" t="s">
        <v>171</v>
      </c>
      <c r="S10" s="416" t="s">
        <v>115</v>
      </c>
      <c r="T10" s="416" t="s">
        <v>323</v>
      </c>
      <c r="U10" s="132" t="s">
        <v>193</v>
      </c>
      <c r="V10" s="122" t="s">
        <v>172</v>
      </c>
      <c r="W10" s="122" t="s">
        <v>112</v>
      </c>
      <c r="X10" s="122" t="s">
        <v>29</v>
      </c>
      <c r="Y10" s="164" t="s">
        <v>173</v>
      </c>
      <c r="Z10" s="164" t="s">
        <v>174</v>
      </c>
    </row>
    <row r="11" spans="1:32" ht="16.5">
      <c r="A11" s="125" t="s">
        <v>27</v>
      </c>
      <c r="B11" s="125" t="s">
        <v>27</v>
      </c>
      <c r="C11" s="163" t="s">
        <v>161</v>
      </c>
      <c r="D11" s="214" t="s">
        <v>240</v>
      </c>
      <c r="E11" s="188" t="s">
        <v>175</v>
      </c>
      <c r="F11" s="188" t="s">
        <v>176</v>
      </c>
      <c r="G11" s="214" t="s">
        <v>152</v>
      </c>
      <c r="H11" s="215" t="s">
        <v>177</v>
      </c>
      <c r="I11" s="216" t="s">
        <v>177</v>
      </c>
      <c r="J11" s="214" t="s">
        <v>239</v>
      </c>
      <c r="K11" s="188" t="s">
        <v>168</v>
      </c>
      <c r="L11" s="188" t="s">
        <v>241</v>
      </c>
      <c r="M11" s="217" t="s">
        <v>178</v>
      </c>
      <c r="N11" s="188" t="s">
        <v>242</v>
      </c>
      <c r="O11" s="217" t="s">
        <v>243</v>
      </c>
      <c r="P11" s="214" t="s">
        <v>239</v>
      </c>
      <c r="Q11" s="188" t="s">
        <v>244</v>
      </c>
      <c r="R11" s="188" t="s">
        <v>244</v>
      </c>
      <c r="S11" s="417" t="s">
        <v>245</v>
      </c>
      <c r="T11" s="555" t="s">
        <v>115</v>
      </c>
      <c r="U11" s="125" t="s">
        <v>318</v>
      </c>
      <c r="V11" s="125" t="s">
        <v>179</v>
      </c>
      <c r="W11" s="125" t="s">
        <v>179</v>
      </c>
      <c r="X11" s="125" t="s">
        <v>27</v>
      </c>
      <c r="Y11" s="164" t="s">
        <v>170</v>
      </c>
      <c r="Z11" s="164" t="s">
        <v>171</v>
      </c>
      <c r="AA11" s="164" t="s">
        <v>111</v>
      </c>
    </row>
    <row r="12" spans="1:32">
      <c r="A12" s="36"/>
      <c r="B12" s="31"/>
      <c r="C12" s="165"/>
      <c r="D12" s="131"/>
      <c r="E12" s="31"/>
      <c r="F12" s="31"/>
      <c r="G12" s="131"/>
      <c r="H12" s="31"/>
      <c r="I12" s="166"/>
      <c r="J12" s="131"/>
      <c r="K12" s="31"/>
      <c r="L12" s="31"/>
      <c r="M12" s="184"/>
      <c r="N12" s="31"/>
      <c r="O12" s="184"/>
      <c r="P12" s="131"/>
      <c r="Q12" s="31"/>
      <c r="R12" s="31"/>
      <c r="S12" s="46"/>
      <c r="T12" s="46"/>
      <c r="U12" s="162"/>
      <c r="V12" s="123"/>
      <c r="W12" s="123"/>
      <c r="X12" s="123"/>
      <c r="Y12" s="46"/>
      <c r="Z12" s="46"/>
    </row>
    <row r="13" spans="1:32">
      <c r="A13" s="455">
        <v>1962</v>
      </c>
      <c r="B13" s="479">
        <f t="shared" ref="B13:B60" si="0">A13+$H$4</f>
        <v>1967</v>
      </c>
      <c r="C13" s="649">
        <f>VLOOKUP($A13,'Brd Tbl'!$A$8:$AX$64,2)</f>
        <v>416093.18072477408</v>
      </c>
      <c r="D13" s="515">
        <f>VLOOKUP($A13,'Brd Tbl'!$A$8:$AX$64,22)</f>
        <v>560800.76741469896</v>
      </c>
      <c r="E13" s="461">
        <v>47</v>
      </c>
      <c r="F13" s="461">
        <v>45</v>
      </c>
      <c r="G13" s="462">
        <v>416819.34971342224</v>
      </c>
      <c r="H13" s="462">
        <v>1.314508295277669</v>
      </c>
      <c r="I13" s="463">
        <v>0.35257130272553339</v>
      </c>
      <c r="J13" s="484">
        <v>963777.28738460806</v>
      </c>
      <c r="K13" s="461">
        <v>444379.5080369598</v>
      </c>
      <c r="L13" s="461">
        <v>0.23600065735228282</v>
      </c>
      <c r="M13" s="483">
        <v>204193397361.32861</v>
      </c>
      <c r="N13" s="458">
        <f t="shared" ref="N13:N60" si="1">D13-J13</f>
        <v>-402976.5199699091</v>
      </c>
      <c r="O13" s="440">
        <f t="shared" ref="O13:O60" si="2">N13^2</f>
        <v>162390075647.05856</v>
      </c>
      <c r="P13" s="466">
        <f t="shared" ref="P13:P60" si="3">J13</f>
        <v>963777.28738460806</v>
      </c>
      <c r="Q13" s="440">
        <f t="shared" ref="Q13:Q40" si="4">$P13-SQRT($O$64)*$Q$64</f>
        <v>385443.84043845499</v>
      </c>
      <c r="R13" s="440">
        <f t="shared" ref="R13:R60" si="5">$P13+SQRT($O$64)*$Q$64</f>
        <v>1542110.7343307612</v>
      </c>
      <c r="S13" s="482">
        <f t="shared" ref="S13:S60" si="6">(P13-D13)/D13</f>
        <v>0.71857341035326627</v>
      </c>
      <c r="T13" s="468">
        <f t="shared" ref="T13:T60" si="7">ABS(S13)</f>
        <v>0.71857341035326627</v>
      </c>
      <c r="U13" s="440">
        <f t="shared" ref="U13:U60" si="8">C13</f>
        <v>416093.18072477408</v>
      </c>
      <c r="V13" s="466">
        <f t="shared" ref="V13:V60" si="9">(+G$62+H$62*C13)</f>
        <v>952232.88235652982</v>
      </c>
      <c r="W13" s="467">
        <f t="shared" ref="W13:W60" si="10">D13</f>
        <v>560800.76741469896</v>
      </c>
      <c r="X13" s="803">
        <f t="shared" ref="X13:X45" si="11">B13-1900</f>
        <v>67</v>
      </c>
      <c r="Y13" s="650">
        <f t="shared" ref="Y13:Y60" si="12">IF(V13-SQRT($O$64)*$Q$64&lt;0,NA(),V13-SQRT($O$64)*$Q$64)</f>
        <v>373899.43541037675</v>
      </c>
      <c r="Z13" s="650">
        <f t="shared" ref="Z13:Z60" si="13">V13+SQRT($O$64)*$Q$64</f>
        <v>1530566.329302683</v>
      </c>
      <c r="AA13" s="471"/>
      <c r="AB13" s="441"/>
      <c r="AC13" s="466"/>
      <c r="AD13" s="435"/>
      <c r="AE13" s="441"/>
      <c r="AF13" s="440"/>
    </row>
    <row r="14" spans="1:32">
      <c r="A14" s="455">
        <v>1963</v>
      </c>
      <c r="B14" s="479">
        <f t="shared" si="0"/>
        <v>1968</v>
      </c>
      <c r="C14" s="649">
        <f>VLOOKUP($A14,'Brd Tbl'!$A$8:$AX$64,2)</f>
        <v>271007.35305366298</v>
      </c>
      <c r="D14" s="515">
        <f>VLOOKUP($A14,'Brd Tbl'!$A$8:$AX$64,22)</f>
        <v>491920.16191207559</v>
      </c>
      <c r="E14" s="461">
        <v>47</v>
      </c>
      <c r="F14" s="461">
        <v>45</v>
      </c>
      <c r="G14" s="462">
        <v>423440.3523516506</v>
      </c>
      <c r="H14" s="462">
        <v>1.2972364449340332</v>
      </c>
      <c r="I14" s="463">
        <v>0.36045993936546589</v>
      </c>
      <c r="J14" s="484">
        <v>775000.96757796686</v>
      </c>
      <c r="K14" s="461">
        <v>446439.4503577908</v>
      </c>
      <c r="L14" s="461">
        <v>0.22349028603984838</v>
      </c>
      <c r="M14" s="483">
        <v>205943510831.76712</v>
      </c>
      <c r="N14" s="458">
        <f t="shared" si="1"/>
        <v>-283080.80566589127</v>
      </c>
      <c r="O14" s="440">
        <f t="shared" si="2"/>
        <v>80134742536.450104</v>
      </c>
      <c r="P14" s="466">
        <f t="shared" si="3"/>
        <v>775000.96757796686</v>
      </c>
      <c r="Q14" s="440">
        <f t="shared" si="4"/>
        <v>196667.52063181379</v>
      </c>
      <c r="R14" s="440">
        <f t="shared" si="5"/>
        <v>1353334.4145241198</v>
      </c>
      <c r="S14" s="482">
        <f t="shared" si="6"/>
        <v>0.57546087268626389</v>
      </c>
      <c r="T14" s="468">
        <f t="shared" si="7"/>
        <v>0.57546087268626389</v>
      </c>
      <c r="U14" s="440">
        <f t="shared" si="8"/>
        <v>271007.35305366298</v>
      </c>
      <c r="V14" s="466">
        <f t="shared" si="9"/>
        <v>757432.14546072681</v>
      </c>
      <c r="W14" s="467">
        <f t="shared" si="10"/>
        <v>491920.16191207559</v>
      </c>
      <c r="X14" s="803">
        <f t="shared" si="11"/>
        <v>68</v>
      </c>
      <c r="Y14" s="650">
        <f t="shared" si="12"/>
        <v>179098.69851457374</v>
      </c>
      <c r="Z14" s="650">
        <f t="shared" si="13"/>
        <v>1335765.5924068799</v>
      </c>
      <c r="AA14" s="471"/>
      <c r="AB14" s="441"/>
      <c r="AC14" s="466"/>
      <c r="AD14" s="435"/>
      <c r="AE14" s="441"/>
      <c r="AF14" s="440"/>
    </row>
    <row r="15" spans="1:32">
      <c r="A15" s="455">
        <v>1964</v>
      </c>
      <c r="B15" s="479">
        <f t="shared" si="0"/>
        <v>1969</v>
      </c>
      <c r="C15" s="649">
        <f>VLOOKUP($A15,'Brd Tbl'!$A$8:$AX$64,2)</f>
        <v>233990.19926972012</v>
      </c>
      <c r="D15" s="515">
        <f>VLOOKUP($A15,'Brd Tbl'!$A$8:$AX$64,22)</f>
        <v>836133.8820333922</v>
      </c>
      <c r="E15" s="461">
        <v>47</v>
      </c>
      <c r="F15" s="461">
        <v>45</v>
      </c>
      <c r="G15" s="462">
        <v>377219.7039512695</v>
      </c>
      <c r="H15" s="462">
        <v>1.3681355032740634</v>
      </c>
      <c r="I15" s="463">
        <v>0.36409056858789451</v>
      </c>
      <c r="J15" s="484">
        <v>697350.0029903464</v>
      </c>
      <c r="K15" s="461">
        <v>447864.29711528338</v>
      </c>
      <c r="L15" s="461">
        <v>0.23883822054739265</v>
      </c>
      <c r="M15" s="483">
        <v>207238697586.11212</v>
      </c>
      <c r="N15" s="458">
        <f t="shared" si="1"/>
        <v>138783.8790430458</v>
      </c>
      <c r="O15" s="440">
        <f t="shared" si="2"/>
        <v>19260965082.234768</v>
      </c>
      <c r="P15" s="466">
        <f t="shared" si="3"/>
        <v>697350.0029903464</v>
      </c>
      <c r="Q15" s="440">
        <f t="shared" si="4"/>
        <v>119016.55604419333</v>
      </c>
      <c r="R15" s="440">
        <f t="shared" si="5"/>
        <v>1275683.4499364994</v>
      </c>
      <c r="S15" s="482">
        <f t="shared" si="6"/>
        <v>-0.16598284320871867</v>
      </c>
      <c r="T15" s="468">
        <f t="shared" si="7"/>
        <v>0.16598284320871867</v>
      </c>
      <c r="U15" s="440">
        <f t="shared" si="8"/>
        <v>233990.19926972012</v>
      </c>
      <c r="V15" s="466">
        <f t="shared" si="9"/>
        <v>707730.74491288303</v>
      </c>
      <c r="W15" s="467">
        <f t="shared" si="10"/>
        <v>836133.8820333922</v>
      </c>
      <c r="X15" s="803">
        <f t="shared" si="11"/>
        <v>69</v>
      </c>
      <c r="Y15" s="650">
        <f t="shared" si="12"/>
        <v>129397.29796672997</v>
      </c>
      <c r="Z15" s="650">
        <f t="shared" si="13"/>
        <v>1286064.1918590362</v>
      </c>
      <c r="AA15" s="471"/>
      <c r="AB15" s="441"/>
      <c r="AC15" s="466"/>
      <c r="AD15" s="435"/>
      <c r="AE15" s="441"/>
      <c r="AF15" s="440"/>
    </row>
    <row r="16" spans="1:32">
      <c r="A16" s="455">
        <v>1965</v>
      </c>
      <c r="B16" s="479">
        <f t="shared" si="0"/>
        <v>1970</v>
      </c>
      <c r="C16" s="649">
        <f>VLOOKUP($A16,'Brd Tbl'!$A$8:$AX$64,2)</f>
        <v>373563.22002911044</v>
      </c>
      <c r="D16" s="515">
        <f>VLOOKUP($A16,'Brd Tbl'!$A$8:$AX$64,22)</f>
        <v>1126848.439217363</v>
      </c>
      <c r="E16" s="461">
        <v>47</v>
      </c>
      <c r="F16" s="461">
        <v>45</v>
      </c>
      <c r="G16" s="462">
        <v>376323.43177644827</v>
      </c>
      <c r="H16" s="462">
        <v>1.3658271938266608</v>
      </c>
      <c r="I16" s="463">
        <v>0.35588789460592946</v>
      </c>
      <c r="J16" s="484">
        <v>886546.23630565964</v>
      </c>
      <c r="K16" s="461">
        <v>446923.98164712288</v>
      </c>
      <c r="L16" s="461">
        <v>0.24659362966262405</v>
      </c>
      <c r="M16" s="483">
        <v>206419885168.19757</v>
      </c>
      <c r="N16" s="458">
        <f t="shared" si="1"/>
        <v>240302.20291170338</v>
      </c>
      <c r="O16" s="440">
        <f t="shared" si="2"/>
        <v>57745148724.217468</v>
      </c>
      <c r="P16" s="466">
        <f t="shared" si="3"/>
        <v>886546.23630565964</v>
      </c>
      <c r="Q16" s="440">
        <f t="shared" si="4"/>
        <v>308212.78935950657</v>
      </c>
      <c r="R16" s="440">
        <f t="shared" si="5"/>
        <v>1464879.6832518126</v>
      </c>
      <c r="S16" s="482">
        <f t="shared" si="6"/>
        <v>-0.21325157363540562</v>
      </c>
      <c r="T16" s="468">
        <f t="shared" si="7"/>
        <v>0.21325157363540562</v>
      </c>
      <c r="U16" s="440">
        <f t="shared" si="8"/>
        <v>373563.22002911044</v>
      </c>
      <c r="V16" s="466">
        <f t="shared" si="9"/>
        <v>895129.66409840039</v>
      </c>
      <c r="W16" s="467">
        <f t="shared" si="10"/>
        <v>1126848.439217363</v>
      </c>
      <c r="X16" s="803">
        <f t="shared" si="11"/>
        <v>70</v>
      </c>
      <c r="Y16" s="650">
        <f t="shared" si="12"/>
        <v>316796.21715224732</v>
      </c>
      <c r="Z16" s="650">
        <f t="shared" si="13"/>
        <v>1473463.1110445536</v>
      </c>
      <c r="AA16" s="471"/>
      <c r="AB16" s="441"/>
      <c r="AC16" s="466"/>
      <c r="AD16" s="435"/>
      <c r="AE16" s="441"/>
      <c r="AF16" s="440"/>
    </row>
    <row r="17" spans="1:32">
      <c r="A17" s="455">
        <v>1966</v>
      </c>
      <c r="B17" s="479">
        <f t="shared" si="0"/>
        <v>1971</v>
      </c>
      <c r="C17" s="649">
        <f>VLOOKUP($A17,'Brd Tbl'!$A$8:$AX$64,2)</f>
        <v>374673.10456808144</v>
      </c>
      <c r="D17" s="515">
        <f>VLOOKUP($A17,'Brd Tbl'!$A$8:$AX$64,22)</f>
        <v>886578.61449924554</v>
      </c>
      <c r="E17" s="461">
        <v>47</v>
      </c>
      <c r="F17" s="461">
        <v>45</v>
      </c>
      <c r="G17" s="462">
        <v>394304.81535035826</v>
      </c>
      <c r="H17" s="462">
        <v>1.3416620742485652</v>
      </c>
      <c r="I17" s="463">
        <v>0.35694701987370786</v>
      </c>
      <c r="J17" s="484">
        <v>896989.50999031996</v>
      </c>
      <c r="K17" s="461">
        <v>448303.59344898863</v>
      </c>
      <c r="L17" s="461">
        <v>0.23893844641232109</v>
      </c>
      <c r="M17" s="483">
        <v>207646199252.86331</v>
      </c>
      <c r="N17" s="458">
        <f t="shared" si="1"/>
        <v>-10410.895491074421</v>
      </c>
      <c r="O17" s="440">
        <f t="shared" si="2"/>
        <v>108386744.92607372</v>
      </c>
      <c r="P17" s="466">
        <f t="shared" si="3"/>
        <v>896989.50999031996</v>
      </c>
      <c r="Q17" s="440">
        <f t="shared" si="4"/>
        <v>318656.06304416689</v>
      </c>
      <c r="R17" s="440">
        <f t="shared" si="5"/>
        <v>1475322.956936473</v>
      </c>
      <c r="S17" s="482">
        <f t="shared" si="6"/>
        <v>1.17427775955939E-2</v>
      </c>
      <c r="T17" s="468">
        <f t="shared" si="7"/>
        <v>1.17427775955939E-2</v>
      </c>
      <c r="U17" s="440">
        <f t="shared" si="8"/>
        <v>374673.10456808144</v>
      </c>
      <c r="V17" s="466">
        <f t="shared" si="9"/>
        <v>896619.86013981467</v>
      </c>
      <c r="W17" s="467">
        <f t="shared" si="10"/>
        <v>886578.61449924554</v>
      </c>
      <c r="X17" s="803">
        <f t="shared" si="11"/>
        <v>71</v>
      </c>
      <c r="Y17" s="650">
        <f t="shared" si="12"/>
        <v>318286.4131936616</v>
      </c>
      <c r="Z17" s="650">
        <f t="shared" si="13"/>
        <v>1474953.3070859676</v>
      </c>
      <c r="AA17" s="471"/>
      <c r="AB17" s="441"/>
      <c r="AC17" s="466"/>
      <c r="AD17" s="435"/>
      <c r="AE17" s="441"/>
      <c r="AF17" s="440"/>
    </row>
    <row r="18" spans="1:32">
      <c r="A18" s="455">
        <v>1967</v>
      </c>
      <c r="B18" s="479">
        <f t="shared" si="0"/>
        <v>1972</v>
      </c>
      <c r="C18" s="649">
        <f>VLOOKUP($A18,'Brd Tbl'!$A$8:$AX$64,2)</f>
        <v>152518.20574374442</v>
      </c>
      <c r="D18" s="515">
        <f>VLOOKUP($A18,'Brd Tbl'!$A$8:$AX$64,22)</f>
        <v>707854.19432154007</v>
      </c>
      <c r="E18" s="461">
        <v>47</v>
      </c>
      <c r="F18" s="461">
        <v>45</v>
      </c>
      <c r="G18" s="462">
        <v>375790.39855870209</v>
      </c>
      <c r="H18" s="462">
        <v>1.3714699186983381</v>
      </c>
      <c r="I18" s="463">
        <v>0.3710722196630088</v>
      </c>
      <c r="J18" s="484">
        <v>584964.52979009168</v>
      </c>
      <c r="K18" s="461">
        <v>447972.50948721822</v>
      </c>
      <c r="L18" s="461">
        <v>0.23286942355165791</v>
      </c>
      <c r="M18" s="483">
        <v>207327188978.31595</v>
      </c>
      <c r="N18" s="458">
        <f t="shared" si="1"/>
        <v>122889.66453144839</v>
      </c>
      <c r="O18" s="440">
        <f t="shared" si="2"/>
        <v>15101869648.651924</v>
      </c>
      <c r="P18" s="466">
        <f t="shared" si="3"/>
        <v>584964.52979009168</v>
      </c>
      <c r="Q18" s="440">
        <f t="shared" si="4"/>
        <v>6631.0828439386096</v>
      </c>
      <c r="R18" s="440">
        <f t="shared" si="5"/>
        <v>1163297.9767362447</v>
      </c>
      <c r="S18" s="482">
        <f t="shared" si="6"/>
        <v>-0.17360872552183568</v>
      </c>
      <c r="T18" s="468">
        <f t="shared" si="7"/>
        <v>0.17360872552183568</v>
      </c>
      <c r="U18" s="440">
        <f t="shared" si="8"/>
        <v>152518.20574374442</v>
      </c>
      <c r="V18" s="466">
        <f t="shared" si="9"/>
        <v>598341.67066638242</v>
      </c>
      <c r="W18" s="467">
        <f t="shared" si="10"/>
        <v>707854.19432154007</v>
      </c>
      <c r="X18" s="803">
        <f t="shared" si="11"/>
        <v>72</v>
      </c>
      <c r="Y18" s="650">
        <f t="shared" si="12"/>
        <v>20008.223720229347</v>
      </c>
      <c r="Z18" s="650">
        <f t="shared" si="13"/>
        <v>1176675.1176125356</v>
      </c>
      <c r="AA18" s="471"/>
      <c r="AB18" s="441"/>
      <c r="AC18" s="466"/>
      <c r="AD18" s="435"/>
      <c r="AE18" s="441"/>
      <c r="AF18" s="440"/>
    </row>
    <row r="19" spans="1:32">
      <c r="A19" s="455">
        <v>1968</v>
      </c>
      <c r="B19" s="479">
        <f t="shared" si="0"/>
        <v>1973</v>
      </c>
      <c r="C19" s="649">
        <f>VLOOKUP($A19,'Brd Tbl'!$A$8:$AX$64,2)</f>
        <v>234701.76831870052</v>
      </c>
      <c r="D19" s="515">
        <f>VLOOKUP($A19,'Brd Tbl'!$A$8:$AX$64,22)</f>
        <v>592986.4878251045</v>
      </c>
      <c r="E19" s="461">
        <v>47</v>
      </c>
      <c r="F19" s="461">
        <v>45</v>
      </c>
      <c r="G19" s="462">
        <v>408253.59593877476</v>
      </c>
      <c r="H19" s="462">
        <v>1.3197642970980952</v>
      </c>
      <c r="I19" s="463">
        <v>0.36410690195174356</v>
      </c>
      <c r="J19" s="484">
        <v>718004.61023158452</v>
      </c>
      <c r="K19" s="461">
        <v>447947.54208363878</v>
      </c>
      <c r="L19" s="461">
        <v>0.22598184966902563</v>
      </c>
      <c r="M19" s="483">
        <v>207315962142.54172</v>
      </c>
      <c r="N19" s="458">
        <f t="shared" si="1"/>
        <v>-125018.12240648002</v>
      </c>
      <c r="O19" s="440">
        <f t="shared" si="2"/>
        <v>15629530930.041622</v>
      </c>
      <c r="P19" s="466">
        <f t="shared" si="3"/>
        <v>718004.61023158452</v>
      </c>
      <c r="Q19" s="440">
        <f t="shared" si="4"/>
        <v>139671.16328543145</v>
      </c>
      <c r="R19" s="440">
        <f t="shared" si="5"/>
        <v>1296338.0571777376</v>
      </c>
      <c r="S19" s="482">
        <f t="shared" si="6"/>
        <v>0.2108279446046212</v>
      </c>
      <c r="T19" s="468">
        <f t="shared" si="7"/>
        <v>0.2108279446046212</v>
      </c>
      <c r="U19" s="440">
        <f t="shared" si="8"/>
        <v>234701.76831870052</v>
      </c>
      <c r="V19" s="466">
        <f t="shared" si="9"/>
        <v>708686.13922891393</v>
      </c>
      <c r="W19" s="467">
        <f t="shared" si="10"/>
        <v>592986.4878251045</v>
      </c>
      <c r="X19" s="803">
        <f t="shared" si="11"/>
        <v>73</v>
      </c>
      <c r="Y19" s="650">
        <f t="shared" si="12"/>
        <v>130352.69228276087</v>
      </c>
      <c r="Z19" s="650">
        <f t="shared" si="13"/>
        <v>1287019.5861750669</v>
      </c>
      <c r="AA19" s="471"/>
      <c r="AB19" s="441"/>
      <c r="AC19" s="466"/>
      <c r="AD19" s="435"/>
      <c r="AE19" s="441"/>
      <c r="AF19" s="440"/>
    </row>
    <row r="20" spans="1:32">
      <c r="A20" s="455">
        <v>1969</v>
      </c>
      <c r="B20" s="479">
        <f t="shared" si="0"/>
        <v>1974</v>
      </c>
      <c r="C20" s="649">
        <f>VLOOKUP($A20,'Brd Tbl'!$A$8:$AX$64,2)</f>
        <v>527822.37255732983</v>
      </c>
      <c r="D20" s="515">
        <f>VLOOKUP($A20,'Brd Tbl'!$A$8:$AX$64,22)</f>
        <v>638486.34876982134</v>
      </c>
      <c r="E20" s="461">
        <v>47</v>
      </c>
      <c r="F20" s="461">
        <v>45</v>
      </c>
      <c r="G20" s="462">
        <v>403450.38142009708</v>
      </c>
      <c r="H20" s="462">
        <v>1.3426181885968362</v>
      </c>
      <c r="I20" s="463">
        <v>0.34993615670742556</v>
      </c>
      <c r="J20" s="484">
        <v>1112114.2991639036</v>
      </c>
      <c r="K20" s="461">
        <v>442828.77418186195</v>
      </c>
      <c r="L20" s="461">
        <v>0.24649197535381082</v>
      </c>
      <c r="M20" s="483">
        <v>202875666302.87238</v>
      </c>
      <c r="N20" s="458">
        <f t="shared" si="1"/>
        <v>-473627.95039408223</v>
      </c>
      <c r="O20" s="440">
        <f t="shared" si="2"/>
        <v>224323435394.49921</v>
      </c>
      <c r="P20" s="466">
        <f t="shared" si="3"/>
        <v>1112114.2991639036</v>
      </c>
      <c r="Q20" s="440">
        <f t="shared" si="4"/>
        <v>533780.85221775051</v>
      </c>
      <c r="R20" s="440">
        <f t="shared" si="5"/>
        <v>1690447.7461100565</v>
      </c>
      <c r="S20" s="482">
        <f t="shared" si="6"/>
        <v>0.74179808433904093</v>
      </c>
      <c r="T20" s="468">
        <f t="shared" si="7"/>
        <v>0.74179808433904093</v>
      </c>
      <c r="U20" s="440">
        <f t="shared" si="8"/>
        <v>527822.37255732983</v>
      </c>
      <c r="V20" s="466">
        <f t="shared" si="9"/>
        <v>1102247.0446708007</v>
      </c>
      <c r="W20" s="467">
        <f t="shared" si="10"/>
        <v>638486.34876982134</v>
      </c>
      <c r="X20" s="803">
        <f t="shared" si="11"/>
        <v>74</v>
      </c>
      <c r="Y20" s="650">
        <f t="shared" si="12"/>
        <v>523913.59772464761</v>
      </c>
      <c r="Z20" s="650">
        <f t="shared" si="13"/>
        <v>1680580.4916169536</v>
      </c>
      <c r="AA20" s="471"/>
      <c r="AB20" s="441"/>
      <c r="AC20" s="466"/>
      <c r="AD20" s="435"/>
      <c r="AE20" s="441"/>
      <c r="AF20" s="440"/>
    </row>
    <row r="21" spans="1:32">
      <c r="A21" s="455">
        <v>1970</v>
      </c>
      <c r="B21" s="479">
        <f t="shared" si="0"/>
        <v>1975</v>
      </c>
      <c r="C21" s="649">
        <f>VLOOKUP($A21,'Brd Tbl'!$A$8:$AX$64,2)</f>
        <v>329729.48946597357</v>
      </c>
      <c r="D21" s="515">
        <f>VLOOKUP($A21,'Brd Tbl'!$A$8:$AX$64,22)</f>
        <v>346614.00262167363</v>
      </c>
      <c r="E21" s="461">
        <v>47</v>
      </c>
      <c r="F21" s="461">
        <v>45</v>
      </c>
      <c r="G21" s="462">
        <v>437770.44228668604</v>
      </c>
      <c r="H21" s="462">
        <v>1.279164077844994</v>
      </c>
      <c r="I21" s="463">
        <v>0.3537716699439058</v>
      </c>
      <c r="J21" s="484">
        <v>859548.56061772886</v>
      </c>
      <c r="K21" s="461">
        <v>442037.33001157432</v>
      </c>
      <c r="L21" s="461">
        <v>0.22512572948802784</v>
      </c>
      <c r="M21" s="483">
        <v>202050593422.18924</v>
      </c>
      <c r="N21" s="458">
        <f t="shared" si="1"/>
        <v>-512934.55799605523</v>
      </c>
      <c r="O21" s="440">
        <f t="shared" si="2"/>
        <v>263101860786.60855</v>
      </c>
      <c r="P21" s="466">
        <f t="shared" si="3"/>
        <v>859548.56061772886</v>
      </c>
      <c r="Q21" s="440">
        <f t="shared" si="4"/>
        <v>281215.11367157579</v>
      </c>
      <c r="R21" s="440">
        <f t="shared" si="5"/>
        <v>1437882.007563882</v>
      </c>
      <c r="S21" s="482">
        <f t="shared" si="6"/>
        <v>1.479843728517567</v>
      </c>
      <c r="T21" s="468">
        <f t="shared" si="7"/>
        <v>1.479843728517567</v>
      </c>
      <c r="U21" s="440">
        <f t="shared" si="8"/>
        <v>329729.48946597357</v>
      </c>
      <c r="V21" s="466">
        <f t="shared" si="9"/>
        <v>836275.92799160792</v>
      </c>
      <c r="W21" s="467">
        <f t="shared" si="10"/>
        <v>346614.00262167363</v>
      </c>
      <c r="X21" s="803">
        <f t="shared" si="11"/>
        <v>75</v>
      </c>
      <c r="Y21" s="650">
        <f t="shared" si="12"/>
        <v>257942.48104545486</v>
      </c>
      <c r="Z21" s="650">
        <f t="shared" si="13"/>
        <v>1414609.3749377611</v>
      </c>
      <c r="AA21" s="471"/>
      <c r="AB21" s="441"/>
      <c r="AC21" s="466"/>
      <c r="AD21" s="435"/>
      <c r="AE21" s="441"/>
      <c r="AF21" s="440"/>
    </row>
    <row r="22" spans="1:32">
      <c r="A22" s="455">
        <v>1971</v>
      </c>
      <c r="B22" s="479">
        <f t="shared" si="0"/>
        <v>1976</v>
      </c>
      <c r="C22" s="649">
        <f>VLOOKUP($A22,'Brd Tbl'!$A$8:$AX$64,2)</f>
        <v>585402.09872581216</v>
      </c>
      <c r="D22" s="515">
        <f>VLOOKUP($A22,'Brd Tbl'!$A$8:$AX$64,22)</f>
        <v>940919.76351097296</v>
      </c>
      <c r="E22" s="461">
        <v>47</v>
      </c>
      <c r="F22" s="461">
        <v>45</v>
      </c>
      <c r="G22" s="462">
        <v>394024.58115862287</v>
      </c>
      <c r="H22" s="462">
        <v>1.3514193362936733</v>
      </c>
      <c r="I22" s="463">
        <v>0.353493371017092</v>
      </c>
      <c r="J22" s="484">
        <v>1185148.2968835833</v>
      </c>
      <c r="K22" s="461">
        <v>446859.35051101149</v>
      </c>
      <c r="L22" s="461">
        <v>0.24516446935124536</v>
      </c>
      <c r="M22" s="483">
        <v>206379407981.19507</v>
      </c>
      <c r="N22" s="458">
        <f t="shared" si="1"/>
        <v>-244228.53337261034</v>
      </c>
      <c r="O22" s="440">
        <f t="shared" si="2"/>
        <v>59647576513.336243</v>
      </c>
      <c r="P22" s="466">
        <f t="shared" si="3"/>
        <v>1185148.2968835833</v>
      </c>
      <c r="Q22" s="440">
        <f t="shared" si="4"/>
        <v>606814.84993743023</v>
      </c>
      <c r="R22" s="440">
        <f t="shared" si="5"/>
        <v>1763481.7438297365</v>
      </c>
      <c r="S22" s="482">
        <f t="shared" si="6"/>
        <v>0.2595636130133876</v>
      </c>
      <c r="T22" s="468">
        <f t="shared" si="7"/>
        <v>0.2595636130133876</v>
      </c>
      <c r="U22" s="440">
        <f t="shared" si="8"/>
        <v>585402.09872581216</v>
      </c>
      <c r="V22" s="466">
        <f t="shared" si="9"/>
        <v>1179556.9602423289</v>
      </c>
      <c r="W22" s="467">
        <f t="shared" si="10"/>
        <v>940919.76351097296</v>
      </c>
      <c r="X22" s="803">
        <f t="shared" si="11"/>
        <v>76</v>
      </c>
      <c r="Y22" s="650">
        <f t="shared" si="12"/>
        <v>601223.51329617586</v>
      </c>
      <c r="Z22" s="650">
        <f t="shared" si="13"/>
        <v>1757890.4071884821</v>
      </c>
      <c r="AA22" s="471"/>
      <c r="AB22" s="441"/>
      <c r="AC22" s="466"/>
      <c r="AD22" s="435"/>
      <c r="AE22" s="441"/>
      <c r="AF22" s="440"/>
    </row>
    <row r="23" spans="1:32">
      <c r="A23" s="455">
        <v>1972</v>
      </c>
      <c r="B23" s="479">
        <f t="shared" si="0"/>
        <v>1977</v>
      </c>
      <c r="C23" s="649">
        <f>VLOOKUP($A23,'Brd Tbl'!$A$8:$AX$64,2)</f>
        <v>408348.74565424217</v>
      </c>
      <c r="D23" s="515">
        <f>VLOOKUP($A23,'Brd Tbl'!$A$8:$AX$64,22)</f>
        <v>846188.38728043251</v>
      </c>
      <c r="E23" s="461">
        <v>47</v>
      </c>
      <c r="F23" s="461">
        <v>45</v>
      </c>
      <c r="G23" s="462">
        <v>399503.02825743344</v>
      </c>
      <c r="H23" s="462">
        <v>1.3352954084666115</v>
      </c>
      <c r="I23" s="463">
        <v>0.35570630069583131</v>
      </c>
      <c r="J23" s="484">
        <v>944769.2333826432</v>
      </c>
      <c r="K23" s="461">
        <v>448072.43150772643</v>
      </c>
      <c r="L23" s="461">
        <v>0.23847516281416706</v>
      </c>
      <c r="M23" s="483">
        <v>207441735498.11224</v>
      </c>
      <c r="N23" s="458">
        <f t="shared" si="1"/>
        <v>-98580.846102210693</v>
      </c>
      <c r="O23" s="440">
        <f t="shared" si="2"/>
        <v>9718183218.2277489</v>
      </c>
      <c r="P23" s="466">
        <f t="shared" si="3"/>
        <v>944769.2333826432</v>
      </c>
      <c r="Q23" s="440">
        <f t="shared" si="4"/>
        <v>366435.78643649013</v>
      </c>
      <c r="R23" s="440">
        <f t="shared" si="5"/>
        <v>1523102.6803287962</v>
      </c>
      <c r="S23" s="482">
        <f t="shared" si="6"/>
        <v>0.11649988062237533</v>
      </c>
      <c r="T23" s="468">
        <f t="shared" si="7"/>
        <v>0.11649988062237533</v>
      </c>
      <c r="U23" s="440">
        <f t="shared" si="8"/>
        <v>408348.74565424217</v>
      </c>
      <c r="V23" s="466">
        <f t="shared" si="9"/>
        <v>941834.74986628303</v>
      </c>
      <c r="W23" s="467">
        <f t="shared" si="10"/>
        <v>846188.38728043251</v>
      </c>
      <c r="X23" s="803">
        <f t="shared" si="11"/>
        <v>77</v>
      </c>
      <c r="Y23" s="650">
        <f t="shared" si="12"/>
        <v>363501.30292012997</v>
      </c>
      <c r="Z23" s="650">
        <f t="shared" si="13"/>
        <v>1520168.196812436</v>
      </c>
      <c r="AA23" s="471"/>
      <c r="AB23" s="441"/>
      <c r="AC23" s="466"/>
      <c r="AD23" s="435"/>
      <c r="AE23" s="441"/>
      <c r="AF23" s="440"/>
    </row>
    <row r="24" spans="1:32">
      <c r="A24" s="455">
        <v>1973</v>
      </c>
      <c r="B24" s="479">
        <f t="shared" si="0"/>
        <v>1978</v>
      </c>
      <c r="C24" s="649">
        <f>VLOOKUP($A24,'Brd Tbl'!$A$8:$AX$64,2)</f>
        <v>432244.89386258059</v>
      </c>
      <c r="D24" s="515">
        <f>VLOOKUP($A24,'Brd Tbl'!$A$8:$AX$64,22)</f>
        <v>297364.96532358415</v>
      </c>
      <c r="E24" s="461">
        <v>47</v>
      </c>
      <c r="F24" s="461">
        <v>45</v>
      </c>
      <c r="G24" s="462">
        <v>429972.90083786671</v>
      </c>
      <c r="H24" s="462">
        <v>1.3011179963411714</v>
      </c>
      <c r="I24" s="463">
        <v>0.34594437045372106</v>
      </c>
      <c r="J24" s="484">
        <v>992374.51106904983</v>
      </c>
      <c r="K24" s="461">
        <v>436496.60756398813</v>
      </c>
      <c r="L24" s="461">
        <v>0.23916549316501182</v>
      </c>
      <c r="M24" s="483">
        <v>197371095381.96143</v>
      </c>
      <c r="N24" s="458">
        <f t="shared" si="1"/>
        <v>-695009.54574546567</v>
      </c>
      <c r="O24" s="440">
        <f t="shared" si="2"/>
        <v>483038268677.31854</v>
      </c>
      <c r="P24" s="466">
        <f t="shared" si="3"/>
        <v>992374.51106904983</v>
      </c>
      <c r="Q24" s="440">
        <f t="shared" si="4"/>
        <v>414041.06412289676</v>
      </c>
      <c r="R24" s="440">
        <f t="shared" si="5"/>
        <v>1570707.958015203</v>
      </c>
      <c r="S24" s="482">
        <f t="shared" si="6"/>
        <v>2.3372274033330589</v>
      </c>
      <c r="T24" s="468">
        <f t="shared" si="7"/>
        <v>2.3372274033330589</v>
      </c>
      <c r="U24" s="440">
        <f t="shared" si="8"/>
        <v>432244.89386258059</v>
      </c>
      <c r="V24" s="466">
        <f t="shared" si="9"/>
        <v>973919.11919908819</v>
      </c>
      <c r="W24" s="467">
        <f t="shared" si="10"/>
        <v>297364.96532358415</v>
      </c>
      <c r="X24" s="803">
        <f t="shared" si="11"/>
        <v>78</v>
      </c>
      <c r="Y24" s="650">
        <f t="shared" si="12"/>
        <v>395585.67225293512</v>
      </c>
      <c r="Z24" s="650">
        <f t="shared" si="13"/>
        <v>1552252.5661452413</v>
      </c>
      <c r="AA24" s="471"/>
      <c r="AB24" s="441"/>
      <c r="AC24" s="466"/>
      <c r="AD24" s="435"/>
      <c r="AE24" s="441"/>
      <c r="AF24" s="440"/>
    </row>
    <row r="25" spans="1:32">
      <c r="A25" s="455">
        <v>1974</v>
      </c>
      <c r="B25" s="479">
        <f t="shared" si="0"/>
        <v>1979</v>
      </c>
      <c r="C25" s="649">
        <f>VLOOKUP($A25,'Brd Tbl'!$A$8:$AX$64,2)</f>
        <v>209834.48285271373</v>
      </c>
      <c r="D25" s="515">
        <f>VLOOKUP($A25,'Brd Tbl'!$A$8:$AX$64,22)</f>
        <v>442734.39909796033</v>
      </c>
      <c r="E25" s="461">
        <v>47</v>
      </c>
      <c r="F25" s="461">
        <v>45</v>
      </c>
      <c r="G25" s="462">
        <v>425480.91411613615</v>
      </c>
      <c r="H25" s="462">
        <v>1.2922199198096309</v>
      </c>
      <c r="I25" s="463">
        <v>0.36508436318221421</v>
      </c>
      <c r="J25" s="484">
        <v>696633.21272136527</v>
      </c>
      <c r="K25" s="461">
        <v>446840.31415592215</v>
      </c>
      <c r="L25" s="461">
        <v>0.2177740406917302</v>
      </c>
      <c r="M25" s="483">
        <v>206276917958.939</v>
      </c>
      <c r="N25" s="458">
        <f t="shared" si="1"/>
        <v>-253898.81362340495</v>
      </c>
      <c r="O25" s="440">
        <f t="shared" si="2"/>
        <v>64464607559.37252</v>
      </c>
      <c r="P25" s="466">
        <f t="shared" si="3"/>
        <v>696633.21272136527</v>
      </c>
      <c r="Q25" s="440">
        <f t="shared" si="4"/>
        <v>118299.7657752122</v>
      </c>
      <c r="R25" s="440">
        <f t="shared" si="5"/>
        <v>1274966.6596675185</v>
      </c>
      <c r="S25" s="482">
        <f t="shared" si="6"/>
        <v>0.5734788490361391</v>
      </c>
      <c r="T25" s="468">
        <f t="shared" si="7"/>
        <v>0.5734788490361391</v>
      </c>
      <c r="U25" s="440">
        <f t="shared" si="8"/>
        <v>209834.48285271373</v>
      </c>
      <c r="V25" s="466">
        <f t="shared" si="9"/>
        <v>675297.86408770899</v>
      </c>
      <c r="W25" s="467">
        <f t="shared" si="10"/>
        <v>442734.39909796033</v>
      </c>
      <c r="X25" s="803">
        <f t="shared" si="11"/>
        <v>79</v>
      </c>
      <c r="Y25" s="650">
        <f t="shared" si="12"/>
        <v>96964.417141555925</v>
      </c>
      <c r="Z25" s="650">
        <f t="shared" si="13"/>
        <v>1253631.3110338622</v>
      </c>
      <c r="AA25" s="471"/>
      <c r="AB25" s="441"/>
      <c r="AC25" s="466"/>
      <c r="AD25" s="435"/>
      <c r="AE25" s="441"/>
      <c r="AF25" s="440"/>
    </row>
    <row r="26" spans="1:32">
      <c r="A26" s="455">
        <v>1975</v>
      </c>
      <c r="B26" s="479">
        <f t="shared" si="0"/>
        <v>1980</v>
      </c>
      <c r="C26" s="649">
        <f>VLOOKUP($A26,'Brd Tbl'!$A$8:$AX$64,2)</f>
        <v>172586.43317981472</v>
      </c>
      <c r="D26" s="515">
        <f>VLOOKUP($A26,'Brd Tbl'!$A$8:$AX$64,22)</f>
        <v>410835.62987088464</v>
      </c>
      <c r="E26" s="461">
        <v>47</v>
      </c>
      <c r="F26" s="461">
        <v>45</v>
      </c>
      <c r="G26" s="462">
        <v>426432.26793903939</v>
      </c>
      <c r="H26" s="462">
        <v>1.289798431259902</v>
      </c>
      <c r="I26" s="463">
        <v>0.36841015189531573</v>
      </c>
      <c r="J26" s="484">
        <v>649033.97871110635</v>
      </c>
      <c r="K26" s="461">
        <v>447038.34642277518</v>
      </c>
      <c r="L26" s="461">
        <v>0.21406847150813038</v>
      </c>
      <c r="M26" s="483">
        <v>206441304217.85739</v>
      </c>
      <c r="N26" s="458">
        <f t="shared" si="1"/>
        <v>-238198.3488402217</v>
      </c>
      <c r="O26" s="440">
        <f t="shared" si="2"/>
        <v>56738453390.207947</v>
      </c>
      <c r="P26" s="466">
        <f t="shared" si="3"/>
        <v>649033.97871110635</v>
      </c>
      <c r="Q26" s="440">
        <f t="shared" si="4"/>
        <v>70700.531764953281</v>
      </c>
      <c r="R26" s="440">
        <f t="shared" si="5"/>
        <v>1227367.4256572593</v>
      </c>
      <c r="S26" s="482">
        <f t="shared" si="6"/>
        <v>0.57978990019702403</v>
      </c>
      <c r="T26" s="468">
        <f t="shared" si="7"/>
        <v>0.57978990019702403</v>
      </c>
      <c r="U26" s="440">
        <f t="shared" si="8"/>
        <v>172586.43317981472</v>
      </c>
      <c r="V26" s="466">
        <f t="shared" si="9"/>
        <v>625286.44918465998</v>
      </c>
      <c r="W26" s="467">
        <f t="shared" si="10"/>
        <v>410835.62987088464</v>
      </c>
      <c r="X26" s="803">
        <f t="shared" si="11"/>
        <v>80</v>
      </c>
      <c r="Y26" s="650">
        <f t="shared" si="12"/>
        <v>46953.002238506917</v>
      </c>
      <c r="Z26" s="650">
        <f t="shared" si="13"/>
        <v>1203619.8961308131</v>
      </c>
      <c r="AA26" s="471"/>
      <c r="AB26" s="441"/>
      <c r="AC26" s="466"/>
      <c r="AD26" s="435"/>
      <c r="AE26" s="441"/>
      <c r="AF26" s="440"/>
    </row>
    <row r="27" spans="1:32">
      <c r="A27" s="455">
        <v>1976</v>
      </c>
      <c r="B27" s="479">
        <f t="shared" si="0"/>
        <v>1981</v>
      </c>
      <c r="C27" s="649">
        <f>VLOOKUP($A27,'Brd Tbl'!$A$8:$AX$64,2)</f>
        <v>248496.46908689401</v>
      </c>
      <c r="D27" s="515">
        <f>VLOOKUP($A27,'Brd Tbl'!$A$8:$AX$64,22)</f>
        <v>897075.92530656559</v>
      </c>
      <c r="E27" s="461">
        <v>47</v>
      </c>
      <c r="F27" s="461">
        <v>45</v>
      </c>
      <c r="G27" s="462">
        <v>372936.26173894503</v>
      </c>
      <c r="H27" s="462">
        <v>1.3745206641955239</v>
      </c>
      <c r="I27" s="463">
        <v>0.36280732113743086</v>
      </c>
      <c r="J27" s="484">
        <v>714499.79347850499</v>
      </c>
      <c r="K27" s="461">
        <v>447536.85615380004</v>
      </c>
      <c r="L27" s="461">
        <v>0.24182762252065546</v>
      </c>
      <c r="M27" s="483">
        <v>206939270376.94058</v>
      </c>
      <c r="N27" s="458">
        <f t="shared" si="1"/>
        <v>182576.13182806061</v>
      </c>
      <c r="O27" s="440">
        <f t="shared" si="2"/>
        <v>33334043913.297367</v>
      </c>
      <c r="P27" s="466">
        <f t="shared" si="3"/>
        <v>714499.79347850499</v>
      </c>
      <c r="Q27" s="440">
        <f t="shared" si="4"/>
        <v>136166.34653235192</v>
      </c>
      <c r="R27" s="440">
        <f t="shared" si="5"/>
        <v>1292833.2404246582</v>
      </c>
      <c r="S27" s="482">
        <f t="shared" si="6"/>
        <v>-0.20352361118783482</v>
      </c>
      <c r="T27" s="468">
        <f t="shared" si="7"/>
        <v>0.20352361118783482</v>
      </c>
      <c r="U27" s="440">
        <f t="shared" si="8"/>
        <v>248496.46908689401</v>
      </c>
      <c r="V27" s="466">
        <f t="shared" si="9"/>
        <v>727207.71310029668</v>
      </c>
      <c r="W27" s="467">
        <f t="shared" si="10"/>
        <v>897075.92530656559</v>
      </c>
      <c r="X27" s="803">
        <f t="shared" si="11"/>
        <v>81</v>
      </c>
      <c r="Y27" s="650">
        <f t="shared" si="12"/>
        <v>148874.26615414361</v>
      </c>
      <c r="Z27" s="650">
        <f t="shared" si="13"/>
        <v>1305541.1600464499</v>
      </c>
      <c r="AA27" s="471"/>
      <c r="AB27" s="441"/>
      <c r="AC27" s="466"/>
      <c r="AD27" s="435"/>
      <c r="AE27" s="441"/>
      <c r="AF27" s="440"/>
    </row>
    <row r="28" spans="1:32">
      <c r="A28" s="455">
        <v>1977</v>
      </c>
      <c r="B28" s="479">
        <f t="shared" si="0"/>
        <v>1982</v>
      </c>
      <c r="C28" s="649">
        <f>VLOOKUP($A28,'Brd Tbl'!$A$8:$AX$64,2)</f>
        <v>357096.4249518197</v>
      </c>
      <c r="D28" s="515">
        <f>VLOOKUP($A28,'Brd Tbl'!$A$8:$AX$64,22)</f>
        <v>1351823.9406582871</v>
      </c>
      <c r="E28" s="461">
        <v>47</v>
      </c>
      <c r="F28" s="461">
        <v>45</v>
      </c>
      <c r="G28" s="462">
        <v>355112.90108607034</v>
      </c>
      <c r="H28" s="462">
        <v>1.3958224100859817</v>
      </c>
      <c r="I28" s="463">
        <v>0.35286106106400711</v>
      </c>
      <c r="J28" s="484">
        <v>853556.0935954072</v>
      </c>
      <c r="K28" s="461">
        <v>442353.73362599796</v>
      </c>
      <c r="L28" s="461">
        <v>0.25801082061888703</v>
      </c>
      <c r="M28" s="483">
        <v>202366146898.14523</v>
      </c>
      <c r="N28" s="458">
        <f t="shared" si="1"/>
        <v>498267.84706287994</v>
      </c>
      <c r="O28" s="440">
        <f t="shared" si="2"/>
        <v>248270847416.67752</v>
      </c>
      <c r="P28" s="466">
        <f t="shared" si="3"/>
        <v>853556.0935954072</v>
      </c>
      <c r="Q28" s="440">
        <f t="shared" si="4"/>
        <v>275222.64664925414</v>
      </c>
      <c r="R28" s="440">
        <f t="shared" si="5"/>
        <v>1431889.5405415604</v>
      </c>
      <c r="S28" s="482">
        <f t="shared" si="6"/>
        <v>-0.36858930521695182</v>
      </c>
      <c r="T28" s="468">
        <f t="shared" si="7"/>
        <v>0.36858930521695182</v>
      </c>
      <c r="U28" s="440">
        <f t="shared" si="8"/>
        <v>357096.4249518197</v>
      </c>
      <c r="V28" s="466">
        <f t="shared" si="9"/>
        <v>873020.37977436616</v>
      </c>
      <c r="W28" s="467">
        <f t="shared" si="10"/>
        <v>1351823.9406582871</v>
      </c>
      <c r="X28" s="803">
        <f t="shared" si="11"/>
        <v>82</v>
      </c>
      <c r="Y28" s="650">
        <f t="shared" si="12"/>
        <v>294686.93282821309</v>
      </c>
      <c r="Z28" s="650">
        <f t="shared" si="13"/>
        <v>1451353.8267205192</v>
      </c>
      <c r="AA28" s="471"/>
      <c r="AB28" s="441"/>
      <c r="AC28" s="466"/>
      <c r="AD28" s="435"/>
      <c r="AE28" s="441"/>
      <c r="AF28" s="440"/>
    </row>
    <row r="29" spans="1:32">
      <c r="A29" s="455">
        <v>1978</v>
      </c>
      <c r="B29" s="479">
        <f t="shared" si="0"/>
        <v>1983</v>
      </c>
      <c r="C29" s="649">
        <f>VLOOKUP($A29,'Brd Tbl'!$A$8:$AX$64,2)</f>
        <v>234393.70547443983</v>
      </c>
      <c r="D29" s="515">
        <f>VLOOKUP($A29,'Brd Tbl'!$A$8:$AX$64,22)</f>
        <v>817109.74979398493</v>
      </c>
      <c r="E29" s="461">
        <v>47</v>
      </c>
      <c r="F29" s="461">
        <v>45</v>
      </c>
      <c r="G29" s="462">
        <v>379727.75239308982</v>
      </c>
      <c r="H29" s="462">
        <v>1.3642202771852583</v>
      </c>
      <c r="I29" s="463">
        <v>0.36416264906647433</v>
      </c>
      <c r="J29" s="484">
        <v>699492.39824590995</v>
      </c>
      <c r="K29" s="461">
        <v>447988.80012382416</v>
      </c>
      <c r="L29" s="461">
        <v>0.23772604663031061</v>
      </c>
      <c r="M29" s="483">
        <v>207354168303.07065</v>
      </c>
      <c r="N29" s="458">
        <f t="shared" si="1"/>
        <v>117617.35154807498</v>
      </c>
      <c r="O29" s="440">
        <f t="shared" si="2"/>
        <v>13833841385.183455</v>
      </c>
      <c r="P29" s="466">
        <f t="shared" si="3"/>
        <v>699492.39824590995</v>
      </c>
      <c r="Q29" s="440">
        <f t="shared" si="4"/>
        <v>121158.95129975688</v>
      </c>
      <c r="R29" s="440">
        <f t="shared" si="5"/>
        <v>1277825.8451920631</v>
      </c>
      <c r="S29" s="482">
        <f t="shared" si="6"/>
        <v>-0.1439431503267822</v>
      </c>
      <c r="T29" s="468">
        <f t="shared" si="7"/>
        <v>0.1439431503267822</v>
      </c>
      <c r="U29" s="440">
        <f t="shared" si="8"/>
        <v>234393.70547443983</v>
      </c>
      <c r="V29" s="466">
        <f t="shared" si="9"/>
        <v>708272.51599613181</v>
      </c>
      <c r="W29" s="467">
        <f t="shared" si="10"/>
        <v>817109.74979398493</v>
      </c>
      <c r="X29" s="803">
        <f t="shared" si="11"/>
        <v>83</v>
      </c>
      <c r="Y29" s="650">
        <f t="shared" si="12"/>
        <v>129939.06904997875</v>
      </c>
      <c r="Z29" s="650">
        <f t="shared" si="13"/>
        <v>1286605.962942285</v>
      </c>
      <c r="AA29" s="471"/>
      <c r="AB29" s="441"/>
      <c r="AC29" s="466"/>
      <c r="AD29" s="435"/>
      <c r="AE29" s="441"/>
      <c r="AF29" s="440"/>
    </row>
    <row r="30" spans="1:32">
      <c r="A30" s="455">
        <v>1979</v>
      </c>
      <c r="B30" s="479">
        <f t="shared" si="0"/>
        <v>1984</v>
      </c>
      <c r="C30" s="649">
        <f>VLOOKUP($A30,'Brd Tbl'!$A$8:$AX$64,2)</f>
        <v>507703.14743589744</v>
      </c>
      <c r="D30" s="515">
        <f>VLOOKUP($A30,'Brd Tbl'!$A$8:$AX$64,22)</f>
        <v>1424421.7932741994</v>
      </c>
      <c r="E30" s="461">
        <v>47</v>
      </c>
      <c r="F30" s="461">
        <v>45</v>
      </c>
      <c r="G30" s="462">
        <v>383748.13086729473</v>
      </c>
      <c r="H30" s="462">
        <v>1.3471706723615688</v>
      </c>
      <c r="I30" s="463">
        <v>0.35186258462021863</v>
      </c>
      <c r="J30" s="484">
        <v>1067710.9213585975</v>
      </c>
      <c r="K30" s="461">
        <v>445208.32621807221</v>
      </c>
      <c r="L30" s="461">
        <v>0.24571088206066849</v>
      </c>
      <c r="M30" s="483">
        <v>204941215010.35559</v>
      </c>
      <c r="N30" s="458">
        <f t="shared" si="1"/>
        <v>356710.87191560189</v>
      </c>
      <c r="O30" s="440">
        <f t="shared" si="2"/>
        <v>127242646142.78894</v>
      </c>
      <c r="P30" s="466">
        <f t="shared" si="3"/>
        <v>1067710.9213585975</v>
      </c>
      <c r="Q30" s="440">
        <f t="shared" si="4"/>
        <v>489377.4744124444</v>
      </c>
      <c r="R30" s="440">
        <f t="shared" si="5"/>
        <v>1646044.3683047504</v>
      </c>
      <c r="S30" s="482">
        <f t="shared" si="6"/>
        <v>-0.2504250311248471</v>
      </c>
      <c r="T30" s="468">
        <f t="shared" si="7"/>
        <v>0.2504250311248471</v>
      </c>
      <c r="U30" s="440">
        <f t="shared" si="8"/>
        <v>507703.14743589744</v>
      </c>
      <c r="V30" s="466">
        <f t="shared" si="9"/>
        <v>1075233.7936707654</v>
      </c>
      <c r="W30" s="467">
        <f t="shared" si="10"/>
        <v>1424421.7932741994</v>
      </c>
      <c r="X30" s="803">
        <f t="shared" si="11"/>
        <v>84</v>
      </c>
      <c r="Y30" s="650">
        <f t="shared" si="12"/>
        <v>496900.34672461229</v>
      </c>
      <c r="Z30" s="650">
        <f t="shared" si="13"/>
        <v>1653567.2406169185</v>
      </c>
      <c r="AA30" s="471"/>
      <c r="AB30" s="441"/>
      <c r="AC30" s="466"/>
      <c r="AD30" s="435"/>
      <c r="AE30" s="441"/>
      <c r="AF30" s="440"/>
    </row>
    <row r="31" spans="1:32">
      <c r="A31" s="455">
        <v>1980</v>
      </c>
      <c r="B31" s="479">
        <f t="shared" si="0"/>
        <v>1985</v>
      </c>
      <c r="C31" s="649">
        <f>VLOOKUP($A31,'Brd Tbl'!$A$8:$AX$64,2)</f>
        <v>609245.6797237664</v>
      </c>
      <c r="D31" s="515">
        <f>VLOOKUP($A31,'Brd Tbl'!$A$8:$AX$64,22)</f>
        <v>1044206.836082815</v>
      </c>
      <c r="E31" s="461">
        <v>47</v>
      </c>
      <c r="F31" s="461">
        <v>45</v>
      </c>
      <c r="G31" s="462">
        <v>392537.72116427694</v>
      </c>
      <c r="H31" s="462">
        <v>1.351371546438624</v>
      </c>
      <c r="I31" s="463">
        <v>0.35444906807893889</v>
      </c>
      <c r="J31" s="484">
        <v>1215854.9975336338</v>
      </c>
      <c r="K31" s="461">
        <v>447593.61195300036</v>
      </c>
      <c r="L31" s="461">
        <v>0.24415350063851426</v>
      </c>
      <c r="M31" s="483">
        <v>207021631070.21396</v>
      </c>
      <c r="N31" s="458">
        <f t="shared" si="1"/>
        <v>-171648.16145081888</v>
      </c>
      <c r="O31" s="440">
        <f t="shared" si="2"/>
        <v>29463091329.446384</v>
      </c>
      <c r="P31" s="466">
        <f t="shared" si="3"/>
        <v>1215854.9975336338</v>
      </c>
      <c r="Q31" s="440">
        <f t="shared" si="4"/>
        <v>637521.55058748077</v>
      </c>
      <c r="R31" s="440">
        <f t="shared" si="5"/>
        <v>1794188.4444797868</v>
      </c>
      <c r="S31" s="482">
        <f t="shared" si="6"/>
        <v>0.16438138069918329</v>
      </c>
      <c r="T31" s="468">
        <f t="shared" si="7"/>
        <v>0.16438138069918329</v>
      </c>
      <c r="U31" s="440">
        <f t="shared" si="8"/>
        <v>609245.6797237664</v>
      </c>
      <c r="V31" s="466">
        <f t="shared" si="9"/>
        <v>1211570.7497570789</v>
      </c>
      <c r="W31" s="467">
        <f t="shared" si="10"/>
        <v>1044206.836082815</v>
      </c>
      <c r="X31" s="803">
        <f t="shared" si="11"/>
        <v>85</v>
      </c>
      <c r="Y31" s="650">
        <f t="shared" si="12"/>
        <v>633237.30281092587</v>
      </c>
      <c r="Z31" s="650">
        <f t="shared" si="13"/>
        <v>1789904.1967032319</v>
      </c>
      <c r="AA31" s="471"/>
      <c r="AB31" s="441"/>
      <c r="AC31" s="466"/>
      <c r="AD31" s="435"/>
      <c r="AE31" s="441"/>
      <c r="AF31" s="440"/>
    </row>
    <row r="32" spans="1:32">
      <c r="A32" s="455">
        <v>1981</v>
      </c>
      <c r="B32" s="479">
        <f t="shared" si="0"/>
        <v>1986</v>
      </c>
      <c r="C32" s="649">
        <f>VLOOKUP($A32,'Brd Tbl'!$A$8:$AX$64,2)</f>
        <v>779344.03185492684</v>
      </c>
      <c r="D32" s="515">
        <f>VLOOKUP($A32,'Brd Tbl'!$A$8:$AX$64,22)</f>
        <v>729707.86718836357</v>
      </c>
      <c r="E32" s="461">
        <v>47</v>
      </c>
      <c r="F32" s="461">
        <v>45</v>
      </c>
      <c r="G32" s="462">
        <v>346666.30552509194</v>
      </c>
      <c r="H32" s="462">
        <v>1.4613074467306004</v>
      </c>
      <c r="I32" s="463">
        <v>0.35073011753494493</v>
      </c>
      <c r="J32" s="484">
        <v>1485527.5428397469</v>
      </c>
      <c r="K32" s="461">
        <v>434797.80719792587</v>
      </c>
      <c r="L32" s="461">
        <v>0.27837772905340541</v>
      </c>
      <c r="M32" s="483">
        <v>195493965309.10089</v>
      </c>
      <c r="N32" s="458">
        <f t="shared" si="1"/>
        <v>-755819.67565138335</v>
      </c>
      <c r="O32" s="440">
        <f t="shared" si="2"/>
        <v>571263382101.76233</v>
      </c>
      <c r="P32" s="466">
        <f t="shared" si="3"/>
        <v>1485527.5428397469</v>
      </c>
      <c r="Q32" s="440">
        <f t="shared" si="4"/>
        <v>907194.09589359385</v>
      </c>
      <c r="R32" s="440">
        <f t="shared" si="5"/>
        <v>2063860.9897858999</v>
      </c>
      <c r="S32" s="482">
        <f t="shared" si="6"/>
        <v>1.0357839207128616</v>
      </c>
      <c r="T32" s="468">
        <f t="shared" si="7"/>
        <v>1.0357839207128616</v>
      </c>
      <c r="U32" s="440">
        <f t="shared" si="8"/>
        <v>779344.03185492684</v>
      </c>
      <c r="V32" s="466">
        <f t="shared" si="9"/>
        <v>1439954.7681811582</v>
      </c>
      <c r="W32" s="467">
        <f t="shared" si="10"/>
        <v>729707.86718836357</v>
      </c>
      <c r="X32" s="803">
        <f t="shared" si="11"/>
        <v>86</v>
      </c>
      <c r="Y32" s="650">
        <f t="shared" si="12"/>
        <v>861621.32123500516</v>
      </c>
      <c r="Z32" s="650">
        <f t="shared" si="13"/>
        <v>2018288.2151273112</v>
      </c>
      <c r="AA32" s="471"/>
      <c r="AB32" s="441"/>
      <c r="AC32" s="466"/>
      <c r="AD32" s="435"/>
      <c r="AE32" s="441"/>
      <c r="AF32" s="440"/>
    </row>
    <row r="33" spans="1:32">
      <c r="A33" s="455">
        <v>1982</v>
      </c>
      <c r="B33" s="479">
        <f t="shared" si="0"/>
        <v>1987</v>
      </c>
      <c r="C33" s="649">
        <f>VLOOKUP($A33,'Brd Tbl'!$A$8:$AX$64,2)</f>
        <v>609259.17976030742</v>
      </c>
      <c r="D33" s="515">
        <f>VLOOKUP($A33,'Brd Tbl'!$A$8:$AX$64,22)</f>
        <v>1361112.3412895144</v>
      </c>
      <c r="E33" s="461">
        <v>47</v>
      </c>
      <c r="F33" s="461">
        <v>45</v>
      </c>
      <c r="G33" s="462">
        <v>394477.37514383753</v>
      </c>
      <c r="H33" s="462">
        <v>1.3348731559281795</v>
      </c>
      <c r="I33" s="463">
        <v>0.35456327911046714</v>
      </c>
      <c r="J33" s="484">
        <v>1207761.099208693</v>
      </c>
      <c r="K33" s="461">
        <v>447737.52143806609</v>
      </c>
      <c r="L33" s="461">
        <v>0.23953090031891203</v>
      </c>
      <c r="M33" s="483">
        <v>207148152088.97385</v>
      </c>
      <c r="N33" s="458">
        <f t="shared" si="1"/>
        <v>153351.24208082142</v>
      </c>
      <c r="O33" s="440">
        <f t="shared" si="2"/>
        <v>23516603447.730694</v>
      </c>
      <c r="P33" s="466">
        <f t="shared" si="3"/>
        <v>1207761.099208693</v>
      </c>
      <c r="Q33" s="440">
        <f t="shared" si="4"/>
        <v>629427.65226253995</v>
      </c>
      <c r="R33" s="440">
        <f t="shared" si="5"/>
        <v>1786094.546154846</v>
      </c>
      <c r="S33" s="482">
        <f t="shared" si="6"/>
        <v>-0.11266611684347586</v>
      </c>
      <c r="T33" s="468">
        <f t="shared" si="7"/>
        <v>0.11266611684347586</v>
      </c>
      <c r="U33" s="440">
        <f t="shared" si="8"/>
        <v>609259.17976030742</v>
      </c>
      <c r="V33" s="466">
        <f t="shared" si="9"/>
        <v>1211588.8756974863</v>
      </c>
      <c r="W33" s="467">
        <f t="shared" si="10"/>
        <v>1361112.3412895144</v>
      </c>
      <c r="X33" s="803">
        <f t="shared" si="11"/>
        <v>87</v>
      </c>
      <c r="Y33" s="650">
        <f t="shared" si="12"/>
        <v>633255.42875133327</v>
      </c>
      <c r="Z33" s="650">
        <f t="shared" si="13"/>
        <v>1789922.3226436395</v>
      </c>
      <c r="AA33" s="471"/>
      <c r="AB33" s="441"/>
      <c r="AC33" s="466"/>
      <c r="AD33" s="435"/>
      <c r="AE33" s="441"/>
      <c r="AF33" s="440"/>
    </row>
    <row r="34" spans="1:32">
      <c r="A34" s="455">
        <v>1983</v>
      </c>
      <c r="B34" s="479">
        <f t="shared" si="0"/>
        <v>1988</v>
      </c>
      <c r="C34" s="649">
        <f>VLOOKUP($A34,'Brd Tbl'!$A$8:$AX$64,2)</f>
        <v>689904.86811018642</v>
      </c>
      <c r="D34" s="515">
        <f>VLOOKUP($A34,'Brd Tbl'!$A$8:$AX$64,22)</f>
        <v>536879.18023254443</v>
      </c>
      <c r="E34" s="461">
        <v>47</v>
      </c>
      <c r="F34" s="461">
        <v>45</v>
      </c>
      <c r="G34" s="462">
        <v>367083.4472567488</v>
      </c>
      <c r="H34" s="462">
        <v>1.4249018673722327</v>
      </c>
      <c r="I34" s="463">
        <v>0.34445835921209939</v>
      </c>
      <c r="J34" s="484">
        <v>1350130.1821361473</v>
      </c>
      <c r="K34" s="461">
        <v>432236.11658567324</v>
      </c>
      <c r="L34" s="461">
        <v>0.27550033412796354</v>
      </c>
      <c r="M34" s="483">
        <v>193576650202.81461</v>
      </c>
      <c r="N34" s="458">
        <f t="shared" si="1"/>
        <v>-813251.00190360285</v>
      </c>
      <c r="O34" s="440">
        <f t="shared" si="2"/>
        <v>661377192097.21387</v>
      </c>
      <c r="P34" s="466">
        <f t="shared" si="3"/>
        <v>1350130.1821361473</v>
      </c>
      <c r="Q34" s="440">
        <f t="shared" si="4"/>
        <v>771796.73518999422</v>
      </c>
      <c r="R34" s="440">
        <f t="shared" si="5"/>
        <v>1928463.6290823002</v>
      </c>
      <c r="S34" s="482">
        <f t="shared" si="6"/>
        <v>1.5147747050860687</v>
      </c>
      <c r="T34" s="468">
        <f t="shared" si="7"/>
        <v>1.5147747050860687</v>
      </c>
      <c r="U34" s="440">
        <f t="shared" si="8"/>
        <v>689904.86811018642</v>
      </c>
      <c r="V34" s="466">
        <f t="shared" si="9"/>
        <v>1319868.5041780686</v>
      </c>
      <c r="W34" s="467">
        <f t="shared" si="10"/>
        <v>536879.18023254443</v>
      </c>
      <c r="X34" s="803">
        <f t="shared" si="11"/>
        <v>88</v>
      </c>
      <c r="Y34" s="650">
        <f t="shared" si="12"/>
        <v>741535.05723191553</v>
      </c>
      <c r="Z34" s="650">
        <f t="shared" si="13"/>
        <v>1898201.9511242216</v>
      </c>
      <c r="AA34" s="471"/>
      <c r="AB34" s="441"/>
      <c r="AC34" s="466"/>
      <c r="AD34" s="435"/>
      <c r="AE34" s="441"/>
      <c r="AF34" s="440"/>
    </row>
    <row r="35" spans="1:32">
      <c r="A35" s="455">
        <v>1984</v>
      </c>
      <c r="B35" s="479">
        <f t="shared" si="0"/>
        <v>1989</v>
      </c>
      <c r="C35" s="649">
        <f>VLOOKUP($A35,'Brd Tbl'!$A$8:$AX$64,2)</f>
        <v>837471.73615241167</v>
      </c>
      <c r="D35" s="515">
        <f>VLOOKUP($A35,'Brd Tbl'!$A$8:$AX$64,22)</f>
        <v>1012944.0742998301</v>
      </c>
      <c r="E35" s="461">
        <v>47</v>
      </c>
      <c r="F35" s="461">
        <v>45</v>
      </c>
      <c r="G35" s="462">
        <v>348947.7909421993</v>
      </c>
      <c r="H35" s="462">
        <v>1.4488394191369709</v>
      </c>
      <c r="I35" s="463">
        <v>0.35995709808561377</v>
      </c>
      <c r="J35" s="484">
        <v>1562309.8546928901</v>
      </c>
      <c r="K35" s="461">
        <v>441375.85127807222</v>
      </c>
      <c r="L35" s="461">
        <v>0.26471664233719983</v>
      </c>
      <c r="M35" s="483">
        <v>201227170020.48148</v>
      </c>
      <c r="N35" s="458">
        <f t="shared" si="1"/>
        <v>-549365.78039305995</v>
      </c>
      <c r="O35" s="440">
        <f t="shared" si="2"/>
        <v>301802760666.87579</v>
      </c>
      <c r="P35" s="466">
        <f t="shared" si="3"/>
        <v>1562309.8546928901</v>
      </c>
      <c r="Q35" s="440">
        <f t="shared" si="4"/>
        <v>983976.40774673701</v>
      </c>
      <c r="R35" s="440">
        <f t="shared" si="5"/>
        <v>2140643.3016390433</v>
      </c>
      <c r="S35" s="482">
        <f t="shared" si="6"/>
        <v>0.54234561841214579</v>
      </c>
      <c r="T35" s="468">
        <f t="shared" si="7"/>
        <v>0.54234561841214579</v>
      </c>
      <c r="U35" s="440">
        <f t="shared" si="8"/>
        <v>837471.73615241167</v>
      </c>
      <c r="V35" s="466">
        <f t="shared" si="9"/>
        <v>1518000.4313101561</v>
      </c>
      <c r="W35" s="467">
        <f t="shared" si="10"/>
        <v>1012944.0742998301</v>
      </c>
      <c r="X35" s="803">
        <f t="shared" si="11"/>
        <v>89</v>
      </c>
      <c r="Y35" s="650">
        <f t="shared" si="12"/>
        <v>939666.98436400306</v>
      </c>
      <c r="Z35" s="650">
        <f t="shared" si="13"/>
        <v>2096333.8782563093</v>
      </c>
      <c r="AA35" s="471"/>
      <c r="AB35" s="441"/>
      <c r="AC35" s="466"/>
      <c r="AD35" s="435"/>
      <c r="AE35" s="441"/>
      <c r="AF35" s="440"/>
    </row>
    <row r="36" spans="1:32">
      <c r="A36" s="455">
        <v>1985</v>
      </c>
      <c r="B36" s="479">
        <f t="shared" si="0"/>
        <v>1990</v>
      </c>
      <c r="C36" s="649">
        <f>VLOOKUP($A36,'Brd Tbl'!$A$8:$AX$64,2)</f>
        <v>644071.2163551402</v>
      </c>
      <c r="D36" s="515">
        <f>VLOOKUP($A36,'Brd Tbl'!$A$8:$AX$64,22)</f>
        <v>641426.45512191299</v>
      </c>
      <c r="E36" s="461">
        <v>47</v>
      </c>
      <c r="F36" s="461">
        <v>45</v>
      </c>
      <c r="G36" s="462">
        <v>382473.88771894749</v>
      </c>
      <c r="H36" s="462">
        <v>1.388736682666764</v>
      </c>
      <c r="I36" s="463">
        <v>0.34800054099189393</v>
      </c>
      <c r="J36" s="484">
        <v>1276919.2121211325</v>
      </c>
      <c r="K36" s="461">
        <v>438482.03107834654</v>
      </c>
      <c r="L36" s="461">
        <v>0.2613871891755975</v>
      </c>
      <c r="M36" s="483">
        <v>199055929945.34109</v>
      </c>
      <c r="N36" s="458">
        <f t="shared" si="1"/>
        <v>-635492.75699921953</v>
      </c>
      <c r="O36" s="440">
        <f t="shared" si="2"/>
        <v>403851044198.46912</v>
      </c>
      <c r="P36" s="466">
        <f t="shared" si="3"/>
        <v>1276919.2121211325</v>
      </c>
      <c r="Q36" s="440">
        <f t="shared" si="4"/>
        <v>698585.76517497946</v>
      </c>
      <c r="R36" s="440">
        <f t="shared" si="5"/>
        <v>1855252.6590672857</v>
      </c>
      <c r="S36" s="482">
        <f t="shared" si="6"/>
        <v>0.99074921516674008</v>
      </c>
      <c r="T36" s="468">
        <f t="shared" si="7"/>
        <v>0.99074921516674008</v>
      </c>
      <c r="U36" s="440">
        <f t="shared" si="8"/>
        <v>644071.2163551402</v>
      </c>
      <c r="V36" s="466">
        <f t="shared" si="9"/>
        <v>1258329.556647314</v>
      </c>
      <c r="W36" s="467">
        <f t="shared" si="10"/>
        <v>641426.45512191299</v>
      </c>
      <c r="X36" s="803">
        <f t="shared" si="11"/>
        <v>90</v>
      </c>
      <c r="Y36" s="650">
        <f t="shared" si="12"/>
        <v>679996.10970116092</v>
      </c>
      <c r="Z36" s="650">
        <f t="shared" si="13"/>
        <v>1836663.0035934672</v>
      </c>
      <c r="AA36" s="471"/>
      <c r="AB36" s="441"/>
      <c r="AC36" s="466"/>
      <c r="AD36" s="435"/>
      <c r="AE36" s="441"/>
      <c r="AF36" s="440"/>
    </row>
    <row r="37" spans="1:32">
      <c r="A37" s="455">
        <v>1986</v>
      </c>
      <c r="B37" s="479">
        <f t="shared" si="0"/>
        <v>1991</v>
      </c>
      <c r="C37" s="649">
        <f>VLOOKUP($A37,'Brd Tbl'!$A$8:$AX$64,2)</f>
        <v>512181.00557456672</v>
      </c>
      <c r="D37" s="515">
        <f>VLOOKUP($A37,'Brd Tbl'!$A$8:$AX$64,22)</f>
        <v>1292395.1381037389</v>
      </c>
      <c r="E37" s="461">
        <v>47</v>
      </c>
      <c r="F37" s="461">
        <v>45</v>
      </c>
      <c r="G37" s="462">
        <v>387946.62069969904</v>
      </c>
      <c r="H37" s="462">
        <v>1.3447836294448754</v>
      </c>
      <c r="I37" s="463">
        <v>0.3533995711680038</v>
      </c>
      <c r="J37" s="484">
        <v>1076719.2523089908</v>
      </c>
      <c r="K37" s="461">
        <v>447176.07276915497</v>
      </c>
      <c r="L37" s="461">
        <v>0.24344496766637119</v>
      </c>
      <c r="M37" s="483">
        <v>206658801359.91812</v>
      </c>
      <c r="N37" s="458">
        <f t="shared" si="1"/>
        <v>215675.88579474809</v>
      </c>
      <c r="O37" s="440">
        <f t="shared" si="2"/>
        <v>46516087713.34922</v>
      </c>
      <c r="P37" s="466">
        <f t="shared" si="3"/>
        <v>1076719.2523089908</v>
      </c>
      <c r="Q37" s="440">
        <f t="shared" si="4"/>
        <v>498385.80536283774</v>
      </c>
      <c r="R37" s="440">
        <f t="shared" si="5"/>
        <v>1655052.6992551438</v>
      </c>
      <c r="S37" s="482">
        <f t="shared" si="6"/>
        <v>-0.16688076226532203</v>
      </c>
      <c r="T37" s="468">
        <f t="shared" si="7"/>
        <v>0.16688076226532203</v>
      </c>
      <c r="U37" s="440">
        <f t="shared" si="8"/>
        <v>512181.00557456672</v>
      </c>
      <c r="V37" s="466">
        <f t="shared" si="9"/>
        <v>1081246.0284915571</v>
      </c>
      <c r="W37" s="467">
        <f t="shared" si="10"/>
        <v>1292395.1381037389</v>
      </c>
      <c r="X37" s="803">
        <f t="shared" si="11"/>
        <v>91</v>
      </c>
      <c r="Y37" s="650">
        <f t="shared" si="12"/>
        <v>502912.58154540404</v>
      </c>
      <c r="Z37" s="650">
        <f t="shared" si="13"/>
        <v>1659579.4754377101</v>
      </c>
      <c r="AA37" s="471"/>
      <c r="AB37" s="441"/>
      <c r="AC37" s="466"/>
      <c r="AD37" s="435"/>
      <c r="AE37" s="441"/>
      <c r="AF37" s="440"/>
    </row>
    <row r="38" spans="1:32">
      <c r="A38" s="455">
        <v>1987</v>
      </c>
      <c r="B38" s="479">
        <f t="shared" si="0"/>
        <v>1992</v>
      </c>
      <c r="C38" s="649">
        <f>VLOOKUP($A38,'Brd Tbl'!$A$8:$AX$64,2)</f>
        <v>505998.99389258347</v>
      </c>
      <c r="D38" s="515">
        <f>VLOOKUP($A38,'Brd Tbl'!$A$8:$AX$64,22)</f>
        <v>1075295.1477904324</v>
      </c>
      <c r="E38" s="461">
        <v>47</v>
      </c>
      <c r="F38" s="461">
        <v>45</v>
      </c>
      <c r="G38" s="462">
        <v>393494.40626899316</v>
      </c>
      <c r="H38" s="462">
        <v>1.3426915323433031</v>
      </c>
      <c r="I38" s="463">
        <v>0.35431894250802154</v>
      </c>
      <c r="J38" s="484">
        <v>1072894.9707427956</v>
      </c>
      <c r="K38" s="461">
        <v>448306.04463987116</v>
      </c>
      <c r="L38" s="461">
        <v>0.24191768141441863</v>
      </c>
      <c r="M38" s="483">
        <v>207648382782.54553</v>
      </c>
      <c r="N38" s="458">
        <f t="shared" si="1"/>
        <v>2400.1770476368256</v>
      </c>
      <c r="O38" s="440">
        <f t="shared" si="2"/>
        <v>5760849.8600026285</v>
      </c>
      <c r="P38" s="466">
        <f t="shared" si="3"/>
        <v>1072894.9707427956</v>
      </c>
      <c r="Q38" s="440">
        <f t="shared" si="4"/>
        <v>494561.52379664255</v>
      </c>
      <c r="R38" s="440">
        <f t="shared" si="5"/>
        <v>1651228.4176889486</v>
      </c>
      <c r="S38" s="482">
        <f t="shared" si="6"/>
        <v>-2.2321099956312679E-3</v>
      </c>
      <c r="T38" s="468">
        <f t="shared" si="7"/>
        <v>2.2321099956312679E-3</v>
      </c>
      <c r="U38" s="440">
        <f t="shared" si="8"/>
        <v>505998.99389258347</v>
      </c>
      <c r="V38" s="466">
        <f t="shared" si="9"/>
        <v>1072945.6972291633</v>
      </c>
      <c r="W38" s="467">
        <f t="shared" si="10"/>
        <v>1075295.1477904324</v>
      </c>
      <c r="X38" s="803">
        <f t="shared" si="11"/>
        <v>92</v>
      </c>
      <c r="Y38" s="650">
        <f t="shared" si="12"/>
        <v>494612.25028301019</v>
      </c>
      <c r="Z38" s="650">
        <f t="shared" si="13"/>
        <v>1651279.1441753162</v>
      </c>
      <c r="AA38" s="471"/>
      <c r="AB38" s="441"/>
      <c r="AC38" s="466"/>
      <c r="AD38" s="435"/>
      <c r="AE38" s="441"/>
      <c r="AF38" s="440"/>
    </row>
    <row r="39" spans="1:32">
      <c r="A39" s="455">
        <v>1988</v>
      </c>
      <c r="B39" s="479">
        <f t="shared" si="0"/>
        <v>1993</v>
      </c>
      <c r="C39" s="649">
        <f>VLOOKUP($A39,'Brd Tbl'!$A$8:$AX$64,2)</f>
        <v>495779.97595582763</v>
      </c>
      <c r="D39" s="515">
        <f>VLOOKUP($A39,'Brd Tbl'!$A$8:$AX$64,22)</f>
        <v>1329979.1552080857</v>
      </c>
      <c r="E39" s="461">
        <v>47</v>
      </c>
      <c r="F39" s="461">
        <v>45</v>
      </c>
      <c r="G39" s="462">
        <v>384861.73268814303</v>
      </c>
      <c r="H39" s="462">
        <v>1.3482187500383536</v>
      </c>
      <c r="I39" s="463">
        <v>0.35291076901443597</v>
      </c>
      <c r="J39" s="484">
        <v>1053281.5921653539</v>
      </c>
      <c r="K39" s="461">
        <v>446445.53161045874</v>
      </c>
      <c r="L39" s="461">
        <v>0.24489747703172451</v>
      </c>
      <c r="M39" s="483">
        <v>206019536387.9939</v>
      </c>
      <c r="N39" s="458">
        <f t="shared" si="1"/>
        <v>276697.56304273172</v>
      </c>
      <c r="O39" s="440">
        <f t="shared" si="2"/>
        <v>76561541393.786499</v>
      </c>
      <c r="P39" s="466">
        <f t="shared" si="3"/>
        <v>1053281.5921653539</v>
      </c>
      <c r="Q39" s="440">
        <f t="shared" si="4"/>
        <v>474948.14521920087</v>
      </c>
      <c r="R39" s="440">
        <f t="shared" si="5"/>
        <v>1631615.0391115071</v>
      </c>
      <c r="S39" s="482">
        <f t="shared" si="6"/>
        <v>-0.20804654115006804</v>
      </c>
      <c r="T39" s="468">
        <f t="shared" si="7"/>
        <v>0.20804654115006804</v>
      </c>
      <c r="U39" s="440">
        <f t="shared" si="8"/>
        <v>495779.97595582763</v>
      </c>
      <c r="V39" s="466">
        <f t="shared" si="9"/>
        <v>1059225.0447272249</v>
      </c>
      <c r="W39" s="467">
        <f t="shared" si="10"/>
        <v>1329979.1552080857</v>
      </c>
      <c r="X39" s="803">
        <f t="shared" si="11"/>
        <v>93</v>
      </c>
      <c r="Y39" s="650">
        <f t="shared" si="12"/>
        <v>480891.59778107179</v>
      </c>
      <c r="Z39" s="650">
        <f t="shared" si="13"/>
        <v>1637558.4916733778</v>
      </c>
      <c r="AA39" s="471"/>
      <c r="AB39" s="441"/>
      <c r="AC39" s="466"/>
      <c r="AD39" s="435"/>
      <c r="AE39" s="441"/>
      <c r="AF39" s="440"/>
    </row>
    <row r="40" spans="1:32" ht="18">
      <c r="A40" s="455">
        <v>1989</v>
      </c>
      <c r="B40" s="479">
        <f t="shared" si="0"/>
        <v>1994</v>
      </c>
      <c r="C40" s="649">
        <f>VLOOKUP($A40,'Brd Tbl'!$A$8:$AX$64,2)</f>
        <v>581067.37842492911</v>
      </c>
      <c r="D40" s="515">
        <f>VLOOKUP($A40,'Brd Tbl'!$A$8:$AX$64,22)</f>
        <v>1332570.2372110838</v>
      </c>
      <c r="E40" s="461">
        <v>47</v>
      </c>
      <c r="F40" s="461">
        <v>45</v>
      </c>
      <c r="G40" s="462">
        <v>393021.61448328942</v>
      </c>
      <c r="H40" s="462">
        <v>1.3372692810116267</v>
      </c>
      <c r="I40" s="463">
        <v>0.3540772692375822</v>
      </c>
      <c r="J40" s="484">
        <v>1170065.1698489052</v>
      </c>
      <c r="K40" s="461">
        <v>447666.00529606052</v>
      </c>
      <c r="L40" s="461">
        <v>0.24068587651789883</v>
      </c>
      <c r="M40" s="483">
        <v>207086635206.61945</v>
      </c>
      <c r="N40" s="458">
        <f t="shared" si="1"/>
        <v>162505.06736217858</v>
      </c>
      <c r="O40" s="440">
        <f t="shared" si="2"/>
        <v>26407896918.3862</v>
      </c>
      <c r="P40" s="466">
        <f t="shared" si="3"/>
        <v>1170065.1698489052</v>
      </c>
      <c r="Q40" s="440">
        <f t="shared" si="4"/>
        <v>591731.72290275211</v>
      </c>
      <c r="R40" s="440">
        <f t="shared" si="5"/>
        <v>1748398.6167950584</v>
      </c>
      <c r="S40" s="482">
        <f t="shared" si="6"/>
        <v>-0.12194859439625712</v>
      </c>
      <c r="T40" s="468">
        <f t="shared" si="7"/>
        <v>0.12194859439625712</v>
      </c>
      <c r="U40" s="440">
        <f t="shared" si="8"/>
        <v>581067.37842492911</v>
      </c>
      <c r="V40" s="466">
        <f t="shared" si="9"/>
        <v>1173736.910673026</v>
      </c>
      <c r="W40" s="467">
        <f t="shared" si="10"/>
        <v>1332570.2372110838</v>
      </c>
      <c r="X40" s="803">
        <f t="shared" si="11"/>
        <v>94</v>
      </c>
      <c r="Y40" s="650">
        <f t="shared" si="12"/>
        <v>595403.46372687293</v>
      </c>
      <c r="Z40" s="650">
        <f t="shared" si="13"/>
        <v>1752070.3576191789</v>
      </c>
      <c r="AA40" s="471"/>
      <c r="AB40" s="441"/>
      <c r="AC40" s="466" t="s">
        <v>317</v>
      </c>
      <c r="AD40" s="435">
        <f>ROUND(L62,4)</f>
        <v>0.24199999999999999</v>
      </c>
      <c r="AE40" s="441"/>
      <c r="AF40" s="440"/>
    </row>
    <row r="41" spans="1:32">
      <c r="A41" s="455">
        <v>1990</v>
      </c>
      <c r="B41" s="479">
        <f t="shared" si="0"/>
        <v>1995</v>
      </c>
      <c r="C41" s="649">
        <f>VLOOKUP($A41,'Brd Tbl'!$A$8:$AX$64,2)</f>
        <v>619668.01983819774</v>
      </c>
      <c r="D41" s="515">
        <f>VLOOKUP($A41,'Brd Tbl'!$A$8:$AX$64,22)</f>
        <v>1060308.8407004261</v>
      </c>
      <c r="E41" s="461">
        <v>47</v>
      </c>
      <c r="F41" s="461">
        <v>45</v>
      </c>
      <c r="G41" s="462">
        <v>391966.40168025321</v>
      </c>
      <c r="H41" s="462">
        <v>1.3523760807025829</v>
      </c>
      <c r="I41" s="463">
        <v>0.35466740325127855</v>
      </c>
      <c r="J41" s="484">
        <v>1229990.6096857656</v>
      </c>
      <c r="K41" s="461">
        <v>447610.66214878706</v>
      </c>
      <c r="L41" s="461">
        <v>0.24420047831828659</v>
      </c>
      <c r="M41" s="483">
        <v>207035911678.79803</v>
      </c>
      <c r="N41" s="458">
        <f t="shared" si="1"/>
        <v>-169681.76898533944</v>
      </c>
      <c r="O41" s="440">
        <f t="shared" si="2"/>
        <v>28791902725.994102</v>
      </c>
      <c r="P41" s="466">
        <f t="shared" si="3"/>
        <v>1229990.6096857656</v>
      </c>
      <c r="Q41" s="440">
        <f t="shared" ref="Q41:Q60" si="14">$P41-(SQRT($O$64)*$Q$64)</f>
        <v>651657.16273961251</v>
      </c>
      <c r="R41" s="440">
        <f t="shared" si="5"/>
        <v>1808324.0566319185</v>
      </c>
      <c r="S41" s="482">
        <f t="shared" si="6"/>
        <v>0.16003051419740111</v>
      </c>
      <c r="T41" s="468">
        <f t="shared" si="7"/>
        <v>0.16003051419740111</v>
      </c>
      <c r="U41" s="440">
        <f t="shared" si="8"/>
        <v>619668.01983819774</v>
      </c>
      <c r="V41" s="466">
        <f t="shared" si="9"/>
        <v>1225564.3945331371</v>
      </c>
      <c r="W41" s="467">
        <f t="shared" si="10"/>
        <v>1060308.8407004261</v>
      </c>
      <c r="X41" s="803">
        <f t="shared" si="11"/>
        <v>95</v>
      </c>
      <c r="Y41" s="650">
        <f t="shared" si="12"/>
        <v>647230.94758698402</v>
      </c>
      <c r="Z41" s="650">
        <f t="shared" si="13"/>
        <v>1803897.8414792903</v>
      </c>
      <c r="AA41" s="471"/>
      <c r="AB41" s="441"/>
      <c r="AC41" s="466" t="s">
        <v>181</v>
      </c>
      <c r="AD41" s="435">
        <f>ROUND(H62,5)</f>
        <v>1.34266</v>
      </c>
      <c r="AE41" s="441"/>
      <c r="AF41" s="440"/>
    </row>
    <row r="42" spans="1:32">
      <c r="A42" s="455">
        <v>1991</v>
      </c>
      <c r="B42" s="479">
        <f t="shared" si="0"/>
        <v>1996</v>
      </c>
      <c r="C42" s="649">
        <f>VLOOKUP($A42,'Brd Tbl'!$A$8:$AX$64,2)</f>
        <v>567389.92208594619</v>
      </c>
      <c r="D42" s="515">
        <f>VLOOKUP($A42,'Brd Tbl'!$A$8:$AX$64,22)</f>
        <v>1989184.4640360922</v>
      </c>
      <c r="E42" s="461">
        <v>47</v>
      </c>
      <c r="F42" s="461">
        <v>45</v>
      </c>
      <c r="G42" s="462">
        <v>386884.64845371747</v>
      </c>
      <c r="H42" s="462">
        <v>1.3216699753548089</v>
      </c>
      <c r="I42" s="463">
        <v>0.34022827915423826</v>
      </c>
      <c r="J42" s="484">
        <v>1136786.872793617</v>
      </c>
      <c r="K42" s="461">
        <v>430330.37650378363</v>
      </c>
      <c r="L42" s="461">
        <v>0.25113023978907006</v>
      </c>
      <c r="M42" s="483">
        <v>192189321235.60696</v>
      </c>
      <c r="N42" s="458">
        <f t="shared" si="1"/>
        <v>852397.5912424752</v>
      </c>
      <c r="O42" s="440">
        <f t="shared" si="2"/>
        <v>726581653555.97388</v>
      </c>
      <c r="P42" s="466">
        <f t="shared" si="3"/>
        <v>1136786.872793617</v>
      </c>
      <c r="Q42" s="440">
        <f t="shared" si="14"/>
        <v>558453.42584746389</v>
      </c>
      <c r="R42" s="440">
        <f t="shared" si="5"/>
        <v>1715120.3197397701</v>
      </c>
      <c r="S42" s="482">
        <f t="shared" si="6"/>
        <v>-0.42851611132782763</v>
      </c>
      <c r="T42" s="468">
        <f t="shared" si="7"/>
        <v>0.42851611132782763</v>
      </c>
      <c r="U42" s="440">
        <f t="shared" si="8"/>
        <v>567389.92208594619</v>
      </c>
      <c r="V42" s="466">
        <f t="shared" si="9"/>
        <v>1155372.7560449543</v>
      </c>
      <c r="W42" s="467">
        <f t="shared" si="10"/>
        <v>1989184.4640360922</v>
      </c>
      <c r="X42" s="803">
        <f t="shared" si="11"/>
        <v>96</v>
      </c>
      <c r="Y42" s="650">
        <f t="shared" si="12"/>
        <v>577039.30909880123</v>
      </c>
      <c r="Z42" s="650">
        <f t="shared" si="13"/>
        <v>1733706.2029911075</v>
      </c>
      <c r="AA42" s="471"/>
      <c r="AB42" s="441"/>
      <c r="AC42" s="466" t="s">
        <v>182</v>
      </c>
      <c r="AD42" s="435">
        <f>S65</f>
        <v>0.19283203439501681</v>
      </c>
      <c r="AE42" s="441"/>
      <c r="AF42" s="440"/>
    </row>
    <row r="43" spans="1:32">
      <c r="A43" s="455">
        <v>1992</v>
      </c>
      <c r="B43" s="479">
        <f t="shared" si="0"/>
        <v>1997</v>
      </c>
      <c r="C43" s="649">
        <f>VLOOKUP($A43,'Brd Tbl'!$A$8:$AX$64,2)</f>
        <v>558331.04056437232</v>
      </c>
      <c r="D43" s="515">
        <f>VLOOKUP($A43,'Brd Tbl'!$A$8:$AX$64,22)</f>
        <v>2415249.6642813412</v>
      </c>
      <c r="E43" s="461">
        <v>47</v>
      </c>
      <c r="F43" s="461">
        <v>45</v>
      </c>
      <c r="G43" s="462">
        <v>379497.21776738926</v>
      </c>
      <c r="H43" s="462">
        <v>1.3180051152197159</v>
      </c>
      <c r="I43" s="463">
        <v>0.3203411372675885</v>
      </c>
      <c r="J43" s="484">
        <v>1115380.3852171786</v>
      </c>
      <c r="K43" s="461">
        <v>405258.32624018384</v>
      </c>
      <c r="L43" s="461">
        <v>0.2733511211311368</v>
      </c>
      <c r="M43" s="483">
        <v>171698289552.65353</v>
      </c>
      <c r="N43" s="458">
        <f t="shared" si="1"/>
        <v>1299869.2790641626</v>
      </c>
      <c r="O43" s="440">
        <f t="shared" si="2"/>
        <v>1689660142654.7859</v>
      </c>
      <c r="P43" s="466">
        <f t="shared" si="3"/>
        <v>1115380.3852171786</v>
      </c>
      <c r="Q43" s="440">
        <f t="shared" si="14"/>
        <v>537046.93827102554</v>
      </c>
      <c r="R43" s="440">
        <f t="shared" si="5"/>
        <v>1693713.8321633316</v>
      </c>
      <c r="S43" s="482">
        <f t="shared" si="6"/>
        <v>-0.53819250998672197</v>
      </c>
      <c r="T43" s="468">
        <f t="shared" si="7"/>
        <v>0.53819250998672197</v>
      </c>
      <c r="U43" s="440">
        <f t="shared" si="8"/>
        <v>558331.04056437232</v>
      </c>
      <c r="V43" s="466">
        <f t="shared" si="9"/>
        <v>1143209.7706991034</v>
      </c>
      <c r="W43" s="467">
        <f t="shared" si="10"/>
        <v>2415249.6642813412</v>
      </c>
      <c r="X43" s="803">
        <f t="shared" si="11"/>
        <v>97</v>
      </c>
      <c r="Y43" s="650">
        <f t="shared" si="12"/>
        <v>564876.32375295029</v>
      </c>
      <c r="Z43" s="650">
        <f t="shared" si="13"/>
        <v>1721543.2176452563</v>
      </c>
      <c r="AA43" s="471"/>
      <c r="AB43" s="441"/>
      <c r="AC43" s="466"/>
      <c r="AD43" s="435"/>
      <c r="AE43" s="441"/>
      <c r="AF43" s="440"/>
    </row>
    <row r="44" spans="1:32">
      <c r="A44" s="455">
        <v>1993</v>
      </c>
      <c r="B44" s="479">
        <f t="shared" si="0"/>
        <v>1998</v>
      </c>
      <c r="C44" s="649">
        <f>VLOOKUP($A44,'Brd Tbl'!$A$8:$AX$64,2)</f>
        <v>652721.10807092034</v>
      </c>
      <c r="D44" s="515">
        <f>VLOOKUP($A44,'Brd Tbl'!$A$8:$AX$64,22)</f>
        <v>1112912.7648551823</v>
      </c>
      <c r="E44" s="461">
        <v>47</v>
      </c>
      <c r="F44" s="461">
        <v>45</v>
      </c>
      <c r="G44" s="462">
        <v>390273.67989773967</v>
      </c>
      <c r="H44" s="462">
        <v>1.3552783162613957</v>
      </c>
      <c r="I44" s="463">
        <v>0.35553512357365569</v>
      </c>
      <c r="J44" s="484">
        <v>1274892.4442323691</v>
      </c>
      <c r="K44" s="461">
        <v>447675.32383160316</v>
      </c>
      <c r="L44" s="461">
        <v>0.24408980729997432</v>
      </c>
      <c r="M44" s="483">
        <v>207090262448.9014</v>
      </c>
      <c r="N44" s="458">
        <f t="shared" si="1"/>
        <v>-161979.67937718681</v>
      </c>
      <c r="O44" s="440">
        <f t="shared" si="2"/>
        <v>26237416531.136238</v>
      </c>
      <c r="P44" s="466">
        <f t="shared" si="3"/>
        <v>1274892.4442323691</v>
      </c>
      <c r="Q44" s="440">
        <f t="shared" si="14"/>
        <v>696558.99728621601</v>
      </c>
      <c r="R44" s="440">
        <f t="shared" si="5"/>
        <v>1853225.8911785223</v>
      </c>
      <c r="S44" s="482">
        <f t="shared" si="6"/>
        <v>0.1455457107622127</v>
      </c>
      <c r="T44" s="468">
        <f t="shared" si="7"/>
        <v>0.1455457107622127</v>
      </c>
      <c r="U44" s="440">
        <f t="shared" si="8"/>
        <v>652721.10807092034</v>
      </c>
      <c r="V44" s="466">
        <f t="shared" si="9"/>
        <v>1269943.4083056753</v>
      </c>
      <c r="W44" s="467">
        <f t="shared" si="10"/>
        <v>1112912.7648551823</v>
      </c>
      <c r="X44" s="803">
        <f t="shared" si="11"/>
        <v>98</v>
      </c>
      <c r="Y44" s="650">
        <f t="shared" si="12"/>
        <v>691609.96135952219</v>
      </c>
      <c r="Z44" s="650">
        <f t="shared" si="13"/>
        <v>1848276.8552518282</v>
      </c>
      <c r="AA44" s="471"/>
      <c r="AB44" s="441"/>
      <c r="AC44" s="466"/>
      <c r="AD44" s="435"/>
      <c r="AE44" s="441"/>
      <c r="AF44" s="440"/>
    </row>
    <row r="45" spans="1:32">
      <c r="A45" s="455">
        <v>1994</v>
      </c>
      <c r="B45" s="479">
        <f t="shared" si="0"/>
        <v>1999</v>
      </c>
      <c r="C45" s="649">
        <f>VLOOKUP($A45,'Brd Tbl'!$A$8:$AX$64,2)</f>
        <v>614989.28339619539</v>
      </c>
      <c r="D45" s="515">
        <f>VLOOKUP($A45,'Brd Tbl'!$A$8:$AX$64,22)</f>
        <v>1216630.2738301605</v>
      </c>
      <c r="E45" s="461">
        <v>47</v>
      </c>
      <c r="F45" s="461">
        <v>45</v>
      </c>
      <c r="G45" s="462">
        <v>393540.39518161863</v>
      </c>
      <c r="H45" s="462">
        <v>1.3428065373418863</v>
      </c>
      <c r="I45" s="463">
        <v>0.35512316615403422</v>
      </c>
      <c r="J45" s="484">
        <v>1219352.0253212317</v>
      </c>
      <c r="K45" s="461">
        <v>448306.00549340574</v>
      </c>
      <c r="L45" s="461">
        <v>0.24111841760414071</v>
      </c>
      <c r="M45" s="483">
        <v>207648347738.26218</v>
      </c>
      <c r="N45" s="458">
        <f t="shared" si="1"/>
        <v>-2721.7514910711907</v>
      </c>
      <c r="O45" s="440">
        <f t="shared" si="2"/>
        <v>7407931.1791482493</v>
      </c>
      <c r="P45" s="466">
        <f t="shared" si="3"/>
        <v>1219352.0253212317</v>
      </c>
      <c r="Q45" s="440">
        <f t="shared" si="14"/>
        <v>641018.57837507862</v>
      </c>
      <c r="R45" s="440">
        <f t="shared" si="5"/>
        <v>1797685.4722673846</v>
      </c>
      <c r="S45" s="482">
        <f t="shared" si="6"/>
        <v>2.2371229367017563E-3</v>
      </c>
      <c r="T45" s="468">
        <f t="shared" si="7"/>
        <v>2.2371229367017563E-3</v>
      </c>
      <c r="U45" s="440">
        <f t="shared" si="8"/>
        <v>614989.28339619539</v>
      </c>
      <c r="V45" s="466">
        <f t="shared" si="9"/>
        <v>1219282.4487271735</v>
      </c>
      <c r="W45" s="467">
        <f t="shared" si="10"/>
        <v>1216630.2738301605</v>
      </c>
      <c r="X45" s="803">
        <f t="shared" si="11"/>
        <v>99</v>
      </c>
      <c r="Y45" s="650">
        <f t="shared" si="12"/>
        <v>640949.00178102043</v>
      </c>
      <c r="Z45" s="650">
        <f t="shared" si="13"/>
        <v>1797615.8956733267</v>
      </c>
      <c r="AA45" s="471"/>
      <c r="AB45" s="441"/>
      <c r="AC45" s="466"/>
      <c r="AD45" s="435"/>
      <c r="AE45" s="441"/>
      <c r="AF45" s="440"/>
    </row>
    <row r="46" spans="1:32">
      <c r="A46" s="455">
        <v>1995</v>
      </c>
      <c r="B46" s="479">
        <f t="shared" si="0"/>
        <v>2000</v>
      </c>
      <c r="C46" s="649">
        <f>VLOOKUP($A46,'Brd Tbl'!$A$8:$AX$64,2)</f>
        <v>528715.42146727804</v>
      </c>
      <c r="D46" s="515">
        <f>VLOOKUP($A46,'Brd Tbl'!$A$8:$AX$64,22)</f>
        <v>929769.82433363562</v>
      </c>
      <c r="E46" s="461">
        <v>47</v>
      </c>
      <c r="F46" s="461">
        <v>45</v>
      </c>
      <c r="G46" s="462">
        <v>397212.79887213197</v>
      </c>
      <c r="H46" s="462">
        <v>1.3427423931739195</v>
      </c>
      <c r="I46" s="463">
        <v>0.35366077561604653</v>
      </c>
      <c r="J46" s="484">
        <v>1107141.4092010623</v>
      </c>
      <c r="K46" s="461">
        <v>447542.0361823719</v>
      </c>
      <c r="L46" s="461">
        <v>0.2426142168423093</v>
      </c>
      <c r="M46" s="483">
        <v>206979129202.36423</v>
      </c>
      <c r="N46" s="458">
        <f t="shared" si="1"/>
        <v>-177371.58486742666</v>
      </c>
      <c r="O46" s="440">
        <f t="shared" si="2"/>
        <v>31460679118.382736</v>
      </c>
      <c r="P46" s="466">
        <f t="shared" si="3"/>
        <v>1107141.4092010623</v>
      </c>
      <c r="Q46" s="440">
        <f t="shared" si="14"/>
        <v>528807.96225490922</v>
      </c>
      <c r="R46" s="440">
        <f t="shared" si="5"/>
        <v>1685474.8561472152</v>
      </c>
      <c r="S46" s="482">
        <f t="shared" si="6"/>
        <v>0.19076934981682006</v>
      </c>
      <c r="T46" s="468">
        <f t="shared" si="7"/>
        <v>0.19076934981682006</v>
      </c>
      <c r="U46" s="440">
        <f t="shared" si="8"/>
        <v>528715.42146727804</v>
      </c>
      <c r="V46" s="466">
        <f t="shared" si="9"/>
        <v>1103446.1044861828</v>
      </c>
      <c r="W46" s="467">
        <f t="shared" si="10"/>
        <v>929769.82433363562</v>
      </c>
      <c r="X46" s="799" t="s">
        <v>315</v>
      </c>
      <c r="Y46" s="650">
        <f t="shared" si="12"/>
        <v>525112.65754002973</v>
      </c>
      <c r="Z46" s="650">
        <f t="shared" si="13"/>
        <v>1681779.5514323357</v>
      </c>
      <c r="AA46" s="471"/>
      <c r="AB46" s="441"/>
      <c r="AC46" s="466"/>
      <c r="AD46" s="435"/>
      <c r="AE46" s="441"/>
      <c r="AF46" s="440"/>
    </row>
    <row r="47" spans="1:32">
      <c r="A47" s="455">
        <v>1996</v>
      </c>
      <c r="B47" s="479">
        <f t="shared" si="0"/>
        <v>2001</v>
      </c>
      <c r="C47" s="649">
        <f>VLOOKUP($A47,'Brd Tbl'!$A$8:$AX$64,2)</f>
        <v>674836.32951188635</v>
      </c>
      <c r="D47" s="515">
        <f>VLOOKUP($A47,'Brd Tbl'!$A$8:$AX$64,22)</f>
        <v>1671044.5816115239</v>
      </c>
      <c r="E47" s="461">
        <v>47</v>
      </c>
      <c r="F47" s="461">
        <v>45</v>
      </c>
      <c r="G47" s="462">
        <v>404173.20894366398</v>
      </c>
      <c r="H47" s="462">
        <v>1.3073832389277404</v>
      </c>
      <c r="I47" s="463">
        <v>0.35389866588688085</v>
      </c>
      <c r="J47" s="484">
        <v>1286442.915167022</v>
      </c>
      <c r="K47" s="461">
        <v>444751.75211794802</v>
      </c>
      <c r="L47" s="461">
        <v>0.23270175797722831</v>
      </c>
      <c r="M47" s="483">
        <v>204501304463.77905</v>
      </c>
      <c r="N47" s="458">
        <f t="shared" si="1"/>
        <v>384601.66644450184</v>
      </c>
      <c r="O47" s="440">
        <f t="shared" si="2"/>
        <v>147918441831.88785</v>
      </c>
      <c r="P47" s="466">
        <f t="shared" si="3"/>
        <v>1286442.915167022</v>
      </c>
      <c r="Q47" s="440">
        <f t="shared" si="14"/>
        <v>708109.46822086896</v>
      </c>
      <c r="R47" s="440">
        <f t="shared" si="5"/>
        <v>1864776.362113175</v>
      </c>
      <c r="S47" s="482">
        <f t="shared" si="6"/>
        <v>-0.23015643668441163</v>
      </c>
      <c r="T47" s="468">
        <f t="shared" si="7"/>
        <v>0.23015643668441163</v>
      </c>
      <c r="U47" s="440">
        <f t="shared" si="8"/>
        <v>674836.32951188635</v>
      </c>
      <c r="V47" s="466">
        <f t="shared" si="9"/>
        <v>1299636.6009659525</v>
      </c>
      <c r="W47" s="467">
        <f t="shared" si="10"/>
        <v>1671044.5816115239</v>
      </c>
      <c r="X47" s="799" t="s">
        <v>316</v>
      </c>
      <c r="Y47" s="650">
        <f t="shared" si="12"/>
        <v>721303.15401979943</v>
      </c>
      <c r="Z47" s="650">
        <f t="shared" si="13"/>
        <v>1877970.0479121055</v>
      </c>
      <c r="AA47" s="414"/>
      <c r="AC47" s="54"/>
      <c r="AD47" s="11"/>
    </row>
    <row r="48" spans="1:32">
      <c r="A48" s="455">
        <v>1997</v>
      </c>
      <c r="B48" s="479">
        <f t="shared" si="0"/>
        <v>2002</v>
      </c>
      <c r="C48" s="649">
        <f>VLOOKUP($A48,'Brd Tbl'!$A$8:$AX$64,2)</f>
        <v>900332.70692073856</v>
      </c>
      <c r="D48" s="515">
        <f>VLOOKUP($A48,'Brd Tbl'!$A$8:$AX$64,22)</f>
        <v>1250886.8726059287</v>
      </c>
      <c r="E48" s="461">
        <v>47</v>
      </c>
      <c r="F48" s="461">
        <v>45</v>
      </c>
      <c r="G48" s="462">
        <v>353417.93406238582</v>
      </c>
      <c r="H48" s="462">
        <v>1.4342347052729809</v>
      </c>
      <c r="I48" s="463">
        <v>0.36819983080212398</v>
      </c>
      <c r="J48" s="484">
        <v>1644706.3486204762</v>
      </c>
      <c r="K48" s="461">
        <v>444861.93523034372</v>
      </c>
      <c r="L48" s="461">
        <v>0.2521570762218962</v>
      </c>
      <c r="M48" s="483">
        <v>204348637700.87512</v>
      </c>
      <c r="N48" s="458">
        <f t="shared" si="1"/>
        <v>-393819.47601454752</v>
      </c>
      <c r="O48" s="440">
        <f t="shared" si="2"/>
        <v>155093779688.37277</v>
      </c>
      <c r="P48" s="466">
        <f t="shared" si="3"/>
        <v>1644706.3486204762</v>
      </c>
      <c r="Q48" s="440">
        <f t="shared" si="14"/>
        <v>1066372.9016743232</v>
      </c>
      <c r="R48" s="440">
        <f t="shared" si="5"/>
        <v>2223039.7955666292</v>
      </c>
      <c r="S48" s="482">
        <f t="shared" si="6"/>
        <v>0.31483220796307282</v>
      </c>
      <c r="T48" s="468">
        <f t="shared" si="7"/>
        <v>0.31483220796307282</v>
      </c>
      <c r="U48" s="440">
        <f t="shared" si="8"/>
        <v>900332.70692073856</v>
      </c>
      <c r="V48" s="466">
        <f t="shared" si="9"/>
        <v>1602401.2554582881</v>
      </c>
      <c r="W48" s="467">
        <f t="shared" si="10"/>
        <v>1250886.8726059287</v>
      </c>
      <c r="X48" s="799" t="s">
        <v>324</v>
      </c>
      <c r="Y48" s="650">
        <f t="shared" si="12"/>
        <v>1024067.8085121351</v>
      </c>
      <c r="Z48" s="650">
        <f t="shared" si="13"/>
        <v>2180734.7024044413</v>
      </c>
      <c r="AA48" s="414"/>
      <c r="AC48" s="54"/>
      <c r="AD48" s="11"/>
    </row>
    <row r="49" spans="1:30">
      <c r="A49" s="455">
        <v>1998</v>
      </c>
      <c r="B49" s="479">
        <f t="shared" si="0"/>
        <v>2003</v>
      </c>
      <c r="C49" s="649">
        <f>VLOOKUP($A49,'Brd Tbl'!$A$8:$AX$64,2)</f>
        <v>635380.79722662957</v>
      </c>
      <c r="D49" s="515">
        <f>VLOOKUP($A49,'Brd Tbl'!$A$8:$AX$64,22)</f>
        <v>1379966.5856725546</v>
      </c>
      <c r="E49" s="461">
        <v>47</v>
      </c>
      <c r="F49" s="461">
        <v>45</v>
      </c>
      <c r="G49" s="462">
        <v>395561.8003441497</v>
      </c>
      <c r="H49" s="462">
        <v>1.3334584284561872</v>
      </c>
      <c r="I49" s="463">
        <v>0.355215775277959</v>
      </c>
      <c r="J49" s="484">
        <v>1242815.6796852106</v>
      </c>
      <c r="K49" s="461">
        <v>447852.81887447974</v>
      </c>
      <c r="L49" s="461">
        <v>0.23847636578950673</v>
      </c>
      <c r="M49" s="483">
        <v>207248284693.96497</v>
      </c>
      <c r="N49" s="458">
        <f t="shared" si="1"/>
        <v>137150.90598734398</v>
      </c>
      <c r="O49" s="440">
        <f t="shared" si="2"/>
        <v>18810371013.149269</v>
      </c>
      <c r="P49" s="466">
        <f t="shared" si="3"/>
        <v>1242815.6796852106</v>
      </c>
      <c r="Q49" s="440">
        <f t="shared" si="14"/>
        <v>664482.23273905751</v>
      </c>
      <c r="R49" s="440">
        <f t="shared" si="5"/>
        <v>1821149.1266313638</v>
      </c>
      <c r="S49" s="482">
        <f t="shared" si="6"/>
        <v>-9.9387120971846377E-2</v>
      </c>
      <c r="T49" s="468">
        <f t="shared" si="7"/>
        <v>9.9387120971846377E-2</v>
      </c>
      <c r="U49" s="440">
        <f t="shared" si="8"/>
        <v>635380.79722662957</v>
      </c>
      <c r="V49" s="466">
        <f t="shared" si="9"/>
        <v>1246661.2905089781</v>
      </c>
      <c r="W49" s="467">
        <f t="shared" si="10"/>
        <v>1379966.5856725546</v>
      </c>
      <c r="X49" s="799" t="s">
        <v>349</v>
      </c>
      <c r="Y49" s="650">
        <f t="shared" si="12"/>
        <v>668327.843562825</v>
      </c>
      <c r="Z49" s="650">
        <f t="shared" si="13"/>
        <v>1824994.737455131</v>
      </c>
      <c r="AA49" s="414"/>
      <c r="AC49" s="54"/>
      <c r="AD49" s="11"/>
    </row>
    <row r="50" spans="1:30">
      <c r="A50" s="455">
        <v>1999</v>
      </c>
      <c r="B50" s="479">
        <f t="shared" si="0"/>
        <v>2004</v>
      </c>
      <c r="C50" s="649">
        <f>VLOOKUP($A50,'Brd Tbl'!$A$8:$AX$64,2)</f>
        <v>648887</v>
      </c>
      <c r="D50" s="515">
        <f>VLOOKUP($A50,'Brd Tbl'!$A$8:$AX$64,22)</f>
        <v>996194.75347909459</v>
      </c>
      <c r="E50" s="461">
        <v>47</v>
      </c>
      <c r="F50" s="461">
        <v>45</v>
      </c>
      <c r="G50" s="462">
        <v>388290.91166978003</v>
      </c>
      <c r="H50" s="462">
        <v>1.3635685444717462</v>
      </c>
      <c r="I50" s="463">
        <v>0.35446163405462733</v>
      </c>
      <c r="J50" s="484">
        <v>1273092.8137864182</v>
      </c>
      <c r="K50" s="461">
        <v>446459.02002639248</v>
      </c>
      <c r="L50" s="461">
        <v>0.24747181115545044</v>
      </c>
      <c r="M50" s="483">
        <v>206017174804.84137</v>
      </c>
      <c r="N50" s="458">
        <f t="shared" si="1"/>
        <v>-276898.06030732358</v>
      </c>
      <c r="O50" s="440">
        <f t="shared" si="2"/>
        <v>76672535801.958206</v>
      </c>
      <c r="P50" s="466">
        <f t="shared" si="3"/>
        <v>1273092.8137864182</v>
      </c>
      <c r="Q50" s="440">
        <f t="shared" si="14"/>
        <v>694759.36684026511</v>
      </c>
      <c r="R50" s="440">
        <f t="shared" si="5"/>
        <v>1851426.2607325711</v>
      </c>
      <c r="S50" s="482">
        <f t="shared" si="6"/>
        <v>0.27795575045972609</v>
      </c>
      <c r="T50" s="468">
        <f t="shared" si="7"/>
        <v>0.27795575045972609</v>
      </c>
      <c r="U50" s="440">
        <f t="shared" si="8"/>
        <v>648887</v>
      </c>
      <c r="V50" s="466">
        <f t="shared" si="9"/>
        <v>1264795.5100612892</v>
      </c>
      <c r="W50" s="467">
        <f t="shared" si="10"/>
        <v>996194.75347909459</v>
      </c>
      <c r="X50" s="799" t="s">
        <v>350</v>
      </c>
      <c r="Y50" s="650">
        <f t="shared" si="12"/>
        <v>686462.06311513612</v>
      </c>
      <c r="Z50" s="650">
        <f t="shared" si="13"/>
        <v>1843128.9570074421</v>
      </c>
      <c r="AA50" s="414"/>
      <c r="AC50" s="54"/>
      <c r="AD50" s="11"/>
    </row>
    <row r="51" spans="1:30">
      <c r="A51" s="455">
        <v>2000</v>
      </c>
      <c r="B51" s="479">
        <f t="shared" si="0"/>
        <v>2005</v>
      </c>
      <c r="C51" s="649">
        <f>VLOOKUP($A51,'Brd Tbl'!$A$8:$AX$64,2)</f>
        <v>537592</v>
      </c>
      <c r="D51" s="515">
        <f>VLOOKUP($A51,'Brd Tbl'!$A$8:$AX$64,22)</f>
        <v>1434375.124038063</v>
      </c>
      <c r="E51" s="461">
        <v>47</v>
      </c>
      <c r="F51" s="461">
        <v>45</v>
      </c>
      <c r="G51" s="462">
        <v>387808.68054752669</v>
      </c>
      <c r="H51" s="462">
        <v>1.3406986956173057</v>
      </c>
      <c r="I51" s="463">
        <v>0.35223339440789792</v>
      </c>
      <c r="J51" s="484">
        <v>1108557.5737218251</v>
      </c>
      <c r="K51" s="461">
        <v>445722.64058503421</v>
      </c>
      <c r="L51" s="461">
        <v>0.24354189644103288</v>
      </c>
      <c r="M51" s="483">
        <v>205389844160.32828</v>
      </c>
      <c r="N51" s="458">
        <f t="shared" si="1"/>
        <v>325817.55031623784</v>
      </c>
      <c r="O51" s="440">
        <f t="shared" si="2"/>
        <v>106157076094.07417</v>
      </c>
      <c r="P51" s="466">
        <f t="shared" si="3"/>
        <v>1108557.5737218251</v>
      </c>
      <c r="Q51" s="440">
        <f t="shared" si="14"/>
        <v>530224.12677567208</v>
      </c>
      <c r="R51" s="440">
        <f t="shared" si="5"/>
        <v>1686891.0206679781</v>
      </c>
      <c r="S51" s="482">
        <f t="shared" si="6"/>
        <v>-0.227149470773722</v>
      </c>
      <c r="T51" s="468">
        <f t="shared" si="7"/>
        <v>0.227149470773722</v>
      </c>
      <c r="U51" s="440">
        <f t="shared" si="8"/>
        <v>537592</v>
      </c>
      <c r="V51" s="466">
        <f t="shared" si="9"/>
        <v>1115364.3191529349</v>
      </c>
      <c r="W51" s="467">
        <f t="shared" si="10"/>
        <v>1434375.124038063</v>
      </c>
      <c r="X51" s="799" t="s">
        <v>351</v>
      </c>
      <c r="Y51" s="650">
        <f t="shared" si="12"/>
        <v>537030.87220678187</v>
      </c>
      <c r="Z51" s="650">
        <f t="shared" si="13"/>
        <v>1693697.7660990879</v>
      </c>
      <c r="AA51" s="414"/>
      <c r="AC51" s="54"/>
      <c r="AD51" s="11"/>
    </row>
    <row r="52" spans="1:30">
      <c r="A52" s="455">
        <v>2001</v>
      </c>
      <c r="B52" s="479">
        <f t="shared" si="0"/>
        <v>2006</v>
      </c>
      <c r="C52" s="649">
        <f>VLOOKUP($A52,'Brd Tbl'!$A$8:$AX$64,2)</f>
        <v>680513</v>
      </c>
      <c r="D52" s="515">
        <f>VLOOKUP($A52,'Brd Tbl'!$A$8:$AX$64,22)</f>
        <v>1472393.5551385009</v>
      </c>
      <c r="E52" s="461">
        <v>47</v>
      </c>
      <c r="F52" s="461">
        <v>45</v>
      </c>
      <c r="G52" s="462">
        <v>398605.40925565013</v>
      </c>
      <c r="H52" s="462">
        <v>1.3263504052750013</v>
      </c>
      <c r="I52" s="463">
        <v>0.35636495172888549</v>
      </c>
      <c r="J52" s="484">
        <v>1301204.102600557</v>
      </c>
      <c r="K52" s="461">
        <v>447604.98910979851</v>
      </c>
      <c r="L52" s="461">
        <v>0.23537592238761065</v>
      </c>
      <c r="M52" s="483">
        <v>207024977084.45236</v>
      </c>
      <c r="N52" s="458">
        <f t="shared" si="1"/>
        <v>171189.45253794384</v>
      </c>
      <c r="O52" s="440">
        <f t="shared" si="2"/>
        <v>29305828660.240929</v>
      </c>
      <c r="P52" s="466">
        <f t="shared" si="3"/>
        <v>1301204.102600557</v>
      </c>
      <c r="Q52" s="440">
        <f t="shared" si="14"/>
        <v>722870.65565440396</v>
      </c>
      <c r="R52" s="440">
        <f t="shared" si="5"/>
        <v>1879537.5495467102</v>
      </c>
      <c r="S52" s="482">
        <f t="shared" si="6"/>
        <v>-0.11626609743061589</v>
      </c>
      <c r="T52" s="468">
        <f t="shared" si="7"/>
        <v>0.11626609743061589</v>
      </c>
      <c r="U52" s="440">
        <f t="shared" si="8"/>
        <v>680513</v>
      </c>
      <c r="V52" s="466">
        <f t="shared" si="9"/>
        <v>1307258.4315192848</v>
      </c>
      <c r="W52" s="467">
        <f t="shared" si="10"/>
        <v>1472393.5551385009</v>
      </c>
      <c r="X52" s="799" t="s">
        <v>361</v>
      </c>
      <c r="Y52" s="650">
        <f t="shared" si="12"/>
        <v>728924.98457313178</v>
      </c>
      <c r="Z52" s="650">
        <f t="shared" si="13"/>
        <v>1885591.8784654378</v>
      </c>
      <c r="AA52" s="414"/>
      <c r="AC52" s="54"/>
      <c r="AD52" s="11"/>
    </row>
    <row r="53" spans="1:30">
      <c r="A53" s="455">
        <v>2002</v>
      </c>
      <c r="B53" s="479">
        <f t="shared" si="0"/>
        <v>2007</v>
      </c>
      <c r="C53" s="649">
        <f>VLOOKUP($A53,'Brd Tbl'!$A$8:$AX$64,2)</f>
        <v>732389</v>
      </c>
      <c r="D53" s="515">
        <f>VLOOKUP($A53,'Brd Tbl'!$A$8:$AX$64,22)</f>
        <v>2281728.634522045</v>
      </c>
      <c r="E53" s="461">
        <v>47</v>
      </c>
      <c r="F53" s="461">
        <v>45</v>
      </c>
      <c r="G53" s="462">
        <v>437769.57270329504</v>
      </c>
      <c r="H53" s="462">
        <v>1.2214628755096726</v>
      </c>
      <c r="I53" s="463">
        <v>0.34160374659189474</v>
      </c>
      <c r="J53" s="484">
        <v>1332355.5466349486</v>
      </c>
      <c r="K53" s="461">
        <v>426484.83868241921</v>
      </c>
      <c r="L53" s="461">
        <v>0.22125696654757276</v>
      </c>
      <c r="M53" s="483">
        <v>188471712587.77066</v>
      </c>
      <c r="N53" s="458">
        <f t="shared" si="1"/>
        <v>949373.08788709645</v>
      </c>
      <c r="O53" s="440">
        <f t="shared" si="2"/>
        <v>901309260004.28052</v>
      </c>
      <c r="P53" s="466">
        <f t="shared" si="3"/>
        <v>1332355.5466349486</v>
      </c>
      <c r="Q53" s="440">
        <f t="shared" si="14"/>
        <v>754022.09968879551</v>
      </c>
      <c r="R53" s="440">
        <f t="shared" si="5"/>
        <v>1910688.9935811018</v>
      </c>
      <c r="S53" s="482">
        <f t="shared" si="6"/>
        <v>-0.41607624742192978</v>
      </c>
      <c r="T53" s="468">
        <f t="shared" si="7"/>
        <v>0.41607624742192978</v>
      </c>
      <c r="U53" s="440">
        <f t="shared" si="8"/>
        <v>732389</v>
      </c>
      <c r="V53" s="466">
        <f t="shared" si="9"/>
        <v>1376910.1899950635</v>
      </c>
      <c r="W53" s="467">
        <f t="shared" si="10"/>
        <v>2281728.634522045</v>
      </c>
      <c r="X53" s="799" t="s">
        <v>362</v>
      </c>
      <c r="Y53" s="650">
        <f t="shared" si="12"/>
        <v>798576.7430489104</v>
      </c>
      <c r="Z53" s="650">
        <f t="shared" si="13"/>
        <v>1955243.6369412164</v>
      </c>
      <c r="AA53" s="414"/>
      <c r="AC53" s="54"/>
      <c r="AD53" s="11"/>
    </row>
    <row r="54" spans="1:30">
      <c r="A54" s="455">
        <v>2003</v>
      </c>
      <c r="B54" s="479">
        <f t="shared" si="0"/>
        <v>2008</v>
      </c>
      <c r="C54" s="649">
        <f>VLOOKUP($A54,'Brd Tbl'!$A$8:$AX$64,2)</f>
        <v>653564</v>
      </c>
      <c r="D54" s="515">
        <f>VLOOKUP($A54,'Brd Tbl'!$A$8:$AX$64,22)</f>
        <v>796157.21431067027</v>
      </c>
      <c r="E54" s="461">
        <v>47</v>
      </c>
      <c r="F54" s="461">
        <v>45</v>
      </c>
      <c r="G54" s="462">
        <v>383479.84543998039</v>
      </c>
      <c r="H54" s="462">
        <v>1.3810882627630783</v>
      </c>
      <c r="I54" s="463">
        <v>0.35145009040777025</v>
      </c>
      <c r="J54" s="484">
        <v>1286109.4148044689</v>
      </c>
      <c r="K54" s="461">
        <v>442501.53794372216</v>
      </c>
      <c r="L54" s="461">
        <v>0.25548985345655922</v>
      </c>
      <c r="M54" s="483">
        <v>202540991337.46356</v>
      </c>
      <c r="N54" s="458">
        <f t="shared" si="1"/>
        <v>-489952.20049379859</v>
      </c>
      <c r="O54" s="440">
        <f t="shared" si="2"/>
        <v>240053158768.71542</v>
      </c>
      <c r="P54" s="466">
        <f t="shared" si="3"/>
        <v>1286109.4148044689</v>
      </c>
      <c r="Q54" s="440">
        <f t="shared" si="14"/>
        <v>707775.96785831579</v>
      </c>
      <c r="R54" s="440">
        <f t="shared" si="5"/>
        <v>1864442.8617506218</v>
      </c>
      <c r="S54" s="482">
        <f t="shared" si="6"/>
        <v>0.61539629571529986</v>
      </c>
      <c r="T54" s="468">
        <f t="shared" si="7"/>
        <v>0.61539629571529986</v>
      </c>
      <c r="U54" s="440">
        <f t="shared" si="8"/>
        <v>653564</v>
      </c>
      <c r="V54" s="466">
        <f t="shared" si="9"/>
        <v>1271075.1244184335</v>
      </c>
      <c r="W54" s="467">
        <f t="shared" si="10"/>
        <v>796157.21431067027</v>
      </c>
      <c r="X54" s="799" t="s">
        <v>363</v>
      </c>
      <c r="Y54" s="650">
        <f t="shared" si="12"/>
        <v>692741.67747228045</v>
      </c>
      <c r="Z54" s="650">
        <f t="shared" si="13"/>
        <v>1849408.5713645867</v>
      </c>
      <c r="AA54" s="414"/>
      <c r="AC54" s="54"/>
      <c r="AD54" s="11"/>
    </row>
    <row r="55" spans="1:30">
      <c r="A55" s="455">
        <v>2004</v>
      </c>
      <c r="B55" s="479">
        <f t="shared" si="0"/>
        <v>2009</v>
      </c>
      <c r="C55" s="649">
        <f>VLOOKUP($A55,'Brd Tbl'!$A$8:$AX$64,2)</f>
        <v>586352</v>
      </c>
      <c r="D55" s="515">
        <f>VLOOKUP($A55,'Brd Tbl'!$A$8:$AX$64,22)</f>
        <v>940457.62252988853</v>
      </c>
      <c r="E55" s="461">
        <v>47</v>
      </c>
      <c r="F55" s="461">
        <v>45</v>
      </c>
      <c r="G55" s="462">
        <v>393950.93541084987</v>
      </c>
      <c r="H55" s="462">
        <v>1.3516296801575383</v>
      </c>
      <c r="I55" s="463">
        <v>0.35348896327867707</v>
      </c>
      <c r="J55" s="484">
        <v>1186481.7016305826</v>
      </c>
      <c r="K55" s="461">
        <v>446838.06666724</v>
      </c>
      <c r="L55" s="461">
        <v>0.24522669282947104</v>
      </c>
      <c r="M55" s="483">
        <v>206360678811.32248</v>
      </c>
      <c r="N55" s="458">
        <f t="shared" si="1"/>
        <v>-246024.07910069404</v>
      </c>
      <c r="O55" s="440">
        <f t="shared" si="2"/>
        <v>60527847497.344559</v>
      </c>
      <c r="P55" s="466">
        <f t="shared" si="3"/>
        <v>1186481.7016305826</v>
      </c>
      <c r="Q55" s="440">
        <f t="shared" si="14"/>
        <v>608148.2546844295</v>
      </c>
      <c r="R55" s="440">
        <f t="shared" si="5"/>
        <v>1764815.1485767355</v>
      </c>
      <c r="S55" s="482">
        <f t="shared" si="6"/>
        <v>0.26160038815877129</v>
      </c>
      <c r="T55" s="468">
        <f t="shared" si="7"/>
        <v>0.26160038815877129</v>
      </c>
      <c r="U55" s="440">
        <f t="shared" si="8"/>
        <v>586352</v>
      </c>
      <c r="V55" s="466">
        <f t="shared" si="9"/>
        <v>1180832.3533745203</v>
      </c>
      <c r="W55" s="467">
        <f t="shared" si="10"/>
        <v>940457.62252988853</v>
      </c>
      <c r="X55" s="799" t="s">
        <v>476</v>
      </c>
      <c r="Y55" s="650">
        <f t="shared" si="12"/>
        <v>602498.90642836725</v>
      </c>
      <c r="Z55" s="650">
        <f t="shared" si="13"/>
        <v>1759165.8003206733</v>
      </c>
      <c r="AA55" s="414"/>
      <c r="AC55" s="54"/>
      <c r="AD55" s="11"/>
    </row>
    <row r="56" spans="1:30">
      <c r="A56" s="455">
        <v>2005</v>
      </c>
      <c r="B56" s="479">
        <f t="shared" si="0"/>
        <v>2010</v>
      </c>
      <c r="C56" s="649">
        <f>VLOOKUP($A56,'Brd Tbl'!$A$8:$AX$64,2)</f>
        <v>631646.30056050722</v>
      </c>
      <c r="D56" s="515">
        <f>VLOOKUP($A56,'Brd Tbl'!$A$8:$AX$64,22)</f>
        <v>730494.56928830943</v>
      </c>
      <c r="E56" s="461">
        <v>47</v>
      </c>
      <c r="F56" s="461">
        <v>45</v>
      </c>
      <c r="G56" s="462">
        <v>386543.89132072881</v>
      </c>
      <c r="H56" s="462">
        <v>1.3766926302677696</v>
      </c>
      <c r="I56" s="463">
        <v>0.35016519079337133</v>
      </c>
      <c r="J56" s="484">
        <v>1256126.6982382797</v>
      </c>
      <c r="K56" s="461">
        <v>441596.88409151294</v>
      </c>
      <c r="L56" s="461">
        <v>0.25567055658954468</v>
      </c>
      <c r="M56" s="483">
        <v>201770013120.10687</v>
      </c>
      <c r="N56" s="458">
        <f t="shared" si="1"/>
        <v>-525632.12894997024</v>
      </c>
      <c r="O56" s="440">
        <f t="shared" si="2"/>
        <v>276289134984.47815</v>
      </c>
      <c r="P56" s="466">
        <f t="shared" si="3"/>
        <v>1256126.6982382797</v>
      </c>
      <c r="Q56" s="440">
        <f t="shared" si="14"/>
        <v>677793.2512921266</v>
      </c>
      <c r="R56" s="440">
        <f t="shared" si="5"/>
        <v>1834460.1451844326</v>
      </c>
      <c r="S56" s="482">
        <f t="shared" si="6"/>
        <v>0.71955651834903012</v>
      </c>
      <c r="T56" s="468">
        <f t="shared" si="7"/>
        <v>0.71955651834903012</v>
      </c>
      <c r="U56" s="440">
        <f t="shared" si="8"/>
        <v>631646.30056050722</v>
      </c>
      <c r="V56" s="466">
        <f t="shared" si="9"/>
        <v>1241647.1363757113</v>
      </c>
      <c r="W56" s="467">
        <f t="shared" si="10"/>
        <v>730494.56928830943</v>
      </c>
      <c r="X56" s="799" t="s">
        <v>477</v>
      </c>
      <c r="Y56" s="650">
        <f t="shared" si="12"/>
        <v>663313.68942955823</v>
      </c>
      <c r="Z56" s="650">
        <f t="shared" si="13"/>
        <v>1819980.5833218643</v>
      </c>
      <c r="AA56" s="414"/>
      <c r="AC56" s="54"/>
      <c r="AD56" s="11"/>
    </row>
    <row r="57" spans="1:30">
      <c r="A57" s="455">
        <v>2006</v>
      </c>
      <c r="B57" s="479">
        <f t="shared" si="0"/>
        <v>2011</v>
      </c>
      <c r="C57" s="649">
        <f>VLOOKUP($A57,'Brd Tbl'!$A$8:$AX$64,2)</f>
        <v>777081</v>
      </c>
      <c r="D57" s="515">
        <f>VLOOKUP($A57,'Brd Tbl'!$A$8:$AX$64,22)</f>
        <v>1832418.5211423838</v>
      </c>
      <c r="E57" s="461">
        <v>47</v>
      </c>
      <c r="F57" s="461">
        <v>45</v>
      </c>
      <c r="G57" s="462">
        <v>419342.19582995772</v>
      </c>
      <c r="H57" s="462">
        <v>1.2772328325412652</v>
      </c>
      <c r="I57" s="463">
        <v>0.35815103470610143</v>
      </c>
      <c r="J57" s="484">
        <v>1411855.5625739566</v>
      </c>
      <c r="K57" s="461">
        <v>444164.53370190773</v>
      </c>
      <c r="L57" s="461">
        <v>0.22034281732114924</v>
      </c>
      <c r="M57" s="483">
        <v>203885245734.24835</v>
      </c>
      <c r="N57" s="458">
        <f t="shared" si="1"/>
        <v>420562.95856842725</v>
      </c>
      <c r="O57" s="440">
        <f t="shared" si="2"/>
        <v>176873202119.82864</v>
      </c>
      <c r="P57" s="466">
        <f t="shared" si="3"/>
        <v>1411855.5625739566</v>
      </c>
      <c r="Q57" s="440">
        <f t="shared" si="14"/>
        <v>833522.11562780349</v>
      </c>
      <c r="R57" s="440">
        <f t="shared" si="5"/>
        <v>1990189.0095201097</v>
      </c>
      <c r="S57" s="482">
        <f t="shared" si="6"/>
        <v>-0.22951250149241881</v>
      </c>
      <c r="T57" s="468">
        <f t="shared" si="7"/>
        <v>0.22951250149241881</v>
      </c>
      <c r="U57" s="440">
        <f t="shared" si="8"/>
        <v>777081</v>
      </c>
      <c r="V57" s="466">
        <f t="shared" si="9"/>
        <v>1436916.2889579653</v>
      </c>
      <c r="W57" s="467">
        <f t="shared" si="10"/>
        <v>1832418.5211423838</v>
      </c>
      <c r="X57" s="799" t="s">
        <v>477</v>
      </c>
      <c r="Y57" s="650">
        <f t="shared" si="12"/>
        <v>858582.84201181226</v>
      </c>
      <c r="Z57" s="650">
        <f t="shared" si="13"/>
        <v>2015249.7359041185</v>
      </c>
      <c r="AA57" s="414"/>
      <c r="AC57" s="54"/>
      <c r="AD57" s="11"/>
    </row>
    <row r="58" spans="1:30">
      <c r="A58" s="455">
        <v>2007</v>
      </c>
      <c r="B58" s="479">
        <f t="shared" si="0"/>
        <v>2012</v>
      </c>
      <c r="C58" s="649">
        <f>VLOOKUP($A58,'Brd Tbl'!$A$8:$AX$64,2)</f>
        <v>786913</v>
      </c>
      <c r="D58" s="515">
        <f>VLOOKUP($A58,'Brd Tbl'!$A$8:$AX$64,22)</f>
        <v>2079282.070390793</v>
      </c>
      <c r="E58" s="461">
        <v>47</v>
      </c>
      <c r="F58" s="461">
        <v>45</v>
      </c>
      <c r="G58" s="462">
        <v>436885.63380206295</v>
      </c>
      <c r="H58" s="462">
        <v>1.2341115901297921</v>
      </c>
      <c r="I58" s="463">
        <v>0.35353626375452629</v>
      </c>
      <c r="J58" s="484">
        <v>1408024.0875258681</v>
      </c>
      <c r="K58" s="461">
        <v>437713.69904347125</v>
      </c>
      <c r="L58" s="461">
        <v>0.21308629627572795</v>
      </c>
      <c r="M58" s="483">
        <v>198061541958.92798</v>
      </c>
      <c r="N58" s="458">
        <f t="shared" si="1"/>
        <v>671257.98286492494</v>
      </c>
      <c r="O58" s="440">
        <f t="shared" si="2"/>
        <v>450587279559.88788</v>
      </c>
      <c r="P58" s="466">
        <f t="shared" si="3"/>
        <v>1408024.0875258681</v>
      </c>
      <c r="Q58" s="440">
        <f t="shared" si="14"/>
        <v>829690.64057971502</v>
      </c>
      <c r="R58" s="440">
        <f t="shared" si="5"/>
        <v>1986357.5344720213</v>
      </c>
      <c r="S58" s="482">
        <f t="shared" si="6"/>
        <v>-0.3228316121336845</v>
      </c>
      <c r="T58" s="468">
        <f t="shared" si="7"/>
        <v>0.3228316121336845</v>
      </c>
      <c r="U58" s="440">
        <f t="shared" si="8"/>
        <v>786913</v>
      </c>
      <c r="V58" s="466">
        <f t="shared" si="9"/>
        <v>1450117.3084917355</v>
      </c>
      <c r="W58" s="467">
        <f t="shared" si="10"/>
        <v>2079282.070390793</v>
      </c>
      <c r="X58" s="799" t="s">
        <v>477</v>
      </c>
      <c r="Y58" s="650">
        <f t="shared" si="12"/>
        <v>871783.86154558242</v>
      </c>
      <c r="Z58" s="650">
        <f t="shared" si="13"/>
        <v>2028450.7554378887</v>
      </c>
      <c r="AA58" s="414"/>
      <c r="AC58" s="54"/>
      <c r="AD58" s="11"/>
    </row>
    <row r="59" spans="1:30">
      <c r="A59" s="455">
        <v>2008</v>
      </c>
      <c r="B59" s="479">
        <f t="shared" si="0"/>
        <v>2013</v>
      </c>
      <c r="C59" s="649">
        <f>VLOOKUP($A59,'Brd Tbl'!$A$8:$AX$64,2)</f>
        <v>615240</v>
      </c>
      <c r="D59" s="515">
        <f>VLOOKUP($A59,'Brd Tbl'!$A$8:$AX$64,22)</f>
        <v>1478040.9578396173</v>
      </c>
      <c r="E59" s="461">
        <v>47</v>
      </c>
      <c r="F59" s="461">
        <v>45</v>
      </c>
      <c r="G59" s="462">
        <v>395668.1666172205</v>
      </c>
      <c r="H59" s="462">
        <v>1.3282037846055339</v>
      </c>
      <c r="I59" s="463">
        <v>0.35378013945767428</v>
      </c>
      <c r="J59" s="484">
        <v>1212832.2630579292</v>
      </c>
      <c r="K59" s="461">
        <v>446604.32011936518</v>
      </c>
      <c r="L59" s="461">
        <v>0.23851318985336217</v>
      </c>
      <c r="M59" s="483">
        <v>206152002124.29144</v>
      </c>
      <c r="N59" s="458">
        <f t="shared" si="1"/>
        <v>265208.69478168804</v>
      </c>
      <c r="O59" s="440">
        <f t="shared" si="2"/>
        <v>70335651787.806564</v>
      </c>
      <c r="P59" s="466">
        <f t="shared" si="3"/>
        <v>1212832.2630579292</v>
      </c>
      <c r="Q59" s="440">
        <f t="shared" si="14"/>
        <v>634498.81611177616</v>
      </c>
      <c r="R59" s="440">
        <f t="shared" si="5"/>
        <v>1791165.7100040824</v>
      </c>
      <c r="S59" s="482">
        <f t="shared" si="6"/>
        <v>-0.17943257483833944</v>
      </c>
      <c r="T59" s="468">
        <f t="shared" si="7"/>
        <v>0.17943257483833944</v>
      </c>
      <c r="U59" s="440">
        <f t="shared" si="8"/>
        <v>615240</v>
      </c>
      <c r="V59" s="466">
        <f t="shared" si="9"/>
        <v>1219619.075535988</v>
      </c>
      <c r="W59" s="467">
        <f t="shared" si="10"/>
        <v>1478040.9578396173</v>
      </c>
      <c r="X59" s="799" t="s">
        <v>477</v>
      </c>
      <c r="Y59" s="650">
        <f t="shared" si="12"/>
        <v>641285.6285898349</v>
      </c>
      <c r="Z59" s="650">
        <f t="shared" si="13"/>
        <v>1797952.5224821409</v>
      </c>
      <c r="AA59" s="414"/>
      <c r="AC59" s="54"/>
      <c r="AD59" s="11"/>
    </row>
    <row r="60" spans="1:30">
      <c r="A60" s="455">
        <v>2009</v>
      </c>
      <c r="B60" s="479">
        <f t="shared" si="0"/>
        <v>2014</v>
      </c>
      <c r="C60" s="649">
        <f>VLOOKUP($A60,'Brd Tbl'!$A$8:$AX$64,2)</f>
        <v>604964</v>
      </c>
      <c r="D60" s="515">
        <f>VLOOKUP($A60,'Brd Tbl'!$A$8:$AX$64,22)</f>
        <v>1875957.0948617512</v>
      </c>
      <c r="E60" s="461">
        <v>47</v>
      </c>
      <c r="F60" s="461">
        <v>45</v>
      </c>
      <c r="G60" s="462">
        <v>396690.65408280026</v>
      </c>
      <c r="H60" s="462">
        <v>1.309623506261375</v>
      </c>
      <c r="I60" s="463">
        <v>0.34578450656516235</v>
      </c>
      <c r="J60" s="484">
        <v>1188965.7289247066</v>
      </c>
      <c r="K60" s="461">
        <v>436746.87537255959</v>
      </c>
      <c r="L60" s="461">
        <v>0.24171424546848988</v>
      </c>
      <c r="M60" s="567">
        <v>197606864143.7757</v>
      </c>
      <c r="N60" s="458">
        <f t="shared" si="1"/>
        <v>686991.36593704461</v>
      </c>
      <c r="O60" s="440">
        <f t="shared" si="2"/>
        <v>471957136872.04633</v>
      </c>
      <c r="P60" s="466">
        <f t="shared" si="3"/>
        <v>1188965.7289247066</v>
      </c>
      <c r="Q60" s="440">
        <f t="shared" si="14"/>
        <v>610632.28197855351</v>
      </c>
      <c r="R60" s="440">
        <f t="shared" si="5"/>
        <v>1767299.1758708595</v>
      </c>
      <c r="S60" s="482">
        <f t="shared" si="6"/>
        <v>-0.36620846383891975</v>
      </c>
      <c r="T60" s="468">
        <f t="shared" si="7"/>
        <v>0.36620846383891975</v>
      </c>
      <c r="U60" s="440">
        <f t="shared" si="8"/>
        <v>604964</v>
      </c>
      <c r="V60" s="466">
        <f t="shared" si="9"/>
        <v>1205821.9155757539</v>
      </c>
      <c r="W60" s="467">
        <f t="shared" si="10"/>
        <v>1875957.0948617512</v>
      </c>
      <c r="X60" s="799" t="s">
        <v>536</v>
      </c>
      <c r="Y60" s="650">
        <f t="shared" si="12"/>
        <v>627488.46862960083</v>
      </c>
      <c r="Z60" s="650">
        <f t="shared" si="13"/>
        <v>1784155.3625219068</v>
      </c>
      <c r="AA60" s="414"/>
      <c r="AC60" s="54"/>
      <c r="AD60" s="11"/>
    </row>
    <row r="61" spans="1:30">
      <c r="A61" s="455"/>
      <c r="B61" s="440"/>
      <c r="C61" s="649"/>
      <c r="D61" s="515"/>
      <c r="E61" s="461"/>
      <c r="F61" s="461"/>
      <c r="G61" s="462"/>
      <c r="H61" s="462"/>
      <c r="I61" s="463"/>
      <c r="J61" s="484"/>
      <c r="K61" s="461"/>
      <c r="L61" s="461"/>
      <c r="M61" s="483"/>
      <c r="N61" s="458"/>
      <c r="O61" s="440"/>
      <c r="P61" s="466"/>
      <c r="Q61" s="440"/>
      <c r="R61" s="440"/>
      <c r="S61" s="466"/>
      <c r="T61" s="468"/>
      <c r="U61" s="440"/>
      <c r="V61" s="466"/>
      <c r="W61" s="467"/>
      <c r="X61" s="800"/>
      <c r="Y61" s="467"/>
      <c r="Z61" s="650"/>
      <c r="AA61" s="414"/>
    </row>
    <row r="62" spans="1:30">
      <c r="A62" s="455">
        <v>2010</v>
      </c>
      <c r="B62" s="440">
        <f>A62+5</f>
        <v>2015</v>
      </c>
      <c r="C62" s="649">
        <f>VLOOKUP($A62,'Brd Tbl'!$A$8:$AX$64,2)</f>
        <v>668242</v>
      </c>
      <c r="D62" s="515"/>
      <c r="E62" s="461">
        <v>48</v>
      </c>
      <c r="F62" s="461">
        <v>46</v>
      </c>
      <c r="G62" s="462">
        <v>393561.78729791916</v>
      </c>
      <c r="H62" s="462">
        <v>1.3426586181621301</v>
      </c>
      <c r="I62" s="463">
        <v>0.35039270309744097</v>
      </c>
      <c r="J62" s="484">
        <v>1290782.6676158174</v>
      </c>
      <c r="K62" s="461">
        <v>443406.51614680095</v>
      </c>
      <c r="L62" s="461">
        <v>0.24196499035186741</v>
      </c>
      <c r="M62" s="483">
        <v>203322494825.61465</v>
      </c>
      <c r="N62" s="458">
        <f>D62-$E$62</f>
        <v>-48</v>
      </c>
      <c r="O62" s="440">
        <f>N62^2</f>
        <v>2304</v>
      </c>
      <c r="P62" s="485">
        <f>J62</f>
        <v>1290782.6676158174</v>
      </c>
      <c r="Q62" s="907">
        <f>$P62-(SQRT(O65)*Q65)</f>
        <v>704144.91050813673</v>
      </c>
      <c r="R62" s="907">
        <f>$P62+SQRT(O65)*Q65</f>
        <v>1877420.4247234981</v>
      </c>
      <c r="S62" s="466"/>
      <c r="T62" s="227"/>
      <c r="U62" s="440">
        <f>C62</f>
        <v>668242</v>
      </c>
      <c r="V62" s="466">
        <f>(+G62+H62*C62)</f>
        <v>1290782.6676158174</v>
      </c>
      <c r="W62" s="467"/>
      <c r="X62" s="799" t="s">
        <v>541</v>
      </c>
      <c r="Y62" s="467"/>
      <c r="Z62" s="650">
        <f>V62+SQRT(O65)*Q65</f>
        <v>1877420.4247234981</v>
      </c>
      <c r="AA62" s="514">
        <f>V62</f>
        <v>1290782.6676158174</v>
      </c>
    </row>
    <row r="63" spans="1:30">
      <c r="A63" s="26"/>
      <c r="B63" s="42"/>
      <c r="C63" s="105"/>
      <c r="D63" s="141"/>
      <c r="E63" s="42"/>
      <c r="F63" s="42"/>
      <c r="G63" s="141"/>
      <c r="H63" s="42"/>
      <c r="I63" s="173"/>
      <c r="J63" s="141"/>
      <c r="K63" s="42"/>
      <c r="L63" s="42"/>
      <c r="M63" s="185"/>
      <c r="N63" s="42"/>
      <c r="O63" s="185"/>
      <c r="P63" s="141"/>
      <c r="Q63" s="42"/>
      <c r="R63" s="42"/>
      <c r="S63" s="49"/>
      <c r="U63" s="175"/>
      <c r="V63" s="27"/>
      <c r="W63" s="49"/>
      <c r="X63" s="49"/>
      <c r="Y63" s="49"/>
      <c r="Z63" s="49"/>
    </row>
    <row r="64" spans="1:30">
      <c r="A64" s="23"/>
      <c r="C64" s="2"/>
      <c r="D64" s="127"/>
      <c r="E64" s="54" t="s">
        <v>184</v>
      </c>
      <c r="F64" s="440">
        <f>F60</f>
        <v>45</v>
      </c>
      <c r="G64" s="127" t="s">
        <v>183</v>
      </c>
      <c r="I64" s="147"/>
      <c r="J64" s="127"/>
      <c r="M64" s="222" t="s">
        <v>185</v>
      </c>
      <c r="O64" s="919">
        <f>AVERAGE(INDEX(O$13:O$61,COUNT(O$13:O$61)-1,0):INDEX(O$13:O$61,(COUNT(O$13:O$61)-(COUNT(O$13:O$61)-1)),0))</f>
        <v>197606864143.7757</v>
      </c>
      <c r="P64" s="219" t="s">
        <v>186</v>
      </c>
      <c r="Q64" s="440">
        <f>VLOOKUP(F64,ttab!$A$4:$G$44,4)</f>
        <v>1.3009999999999999</v>
      </c>
      <c r="S64" s="47"/>
      <c r="T64" s="227"/>
      <c r="U64" s="176"/>
    </row>
    <row r="65" spans="1:21" ht="15.75">
      <c r="A65" s="23"/>
      <c r="C65" s="186" t="s">
        <v>205</v>
      </c>
      <c r="D65" s="515">
        <f>AVERAGEA(D13:D61)</f>
        <v>1102430.580723501</v>
      </c>
      <c r="E65" s="54" t="s">
        <v>184</v>
      </c>
      <c r="F65" s="440">
        <f>F62</f>
        <v>46</v>
      </c>
      <c r="G65" s="127" t="s">
        <v>187</v>
      </c>
      <c r="I65" s="147"/>
      <c r="J65" s="127"/>
      <c r="M65" s="222" t="s">
        <v>188</v>
      </c>
      <c r="O65" s="515">
        <f>AVERAGEA(O13:O61)</f>
        <v>203322494825.61465</v>
      </c>
      <c r="P65" s="219" t="s">
        <v>186</v>
      </c>
      <c r="Q65" s="440">
        <f>VLOOKUP(F65,ttab!$A$4:$G$44,4)</f>
        <v>1.3009999999999999</v>
      </c>
      <c r="S65" s="516">
        <f>AVERAGEA(S13:S61)</f>
        <v>0.19283203439501681</v>
      </c>
      <c r="T65" s="516">
        <f>AVERAGEA(T13:T61)</f>
        <v>0.41303318071891543</v>
      </c>
      <c r="U65" s="176"/>
    </row>
    <row r="66" spans="1:21">
      <c r="A66" s="42"/>
      <c r="B66" s="42"/>
      <c r="C66" s="105"/>
      <c r="D66" s="141"/>
      <c r="E66" s="42"/>
      <c r="F66" s="42"/>
      <c r="G66" s="141"/>
      <c r="H66" s="42"/>
      <c r="I66" s="173"/>
      <c r="J66" s="141"/>
      <c r="K66" s="42"/>
      <c r="L66" s="42"/>
      <c r="M66" s="185"/>
      <c r="N66" s="42"/>
      <c r="O66" s="185"/>
      <c r="P66" s="141"/>
      <c r="Q66" s="42"/>
      <c r="R66" s="42"/>
      <c r="S66" s="49"/>
      <c r="T66" s="227"/>
      <c r="U66" s="2"/>
    </row>
    <row r="67" spans="1:21">
      <c r="C67" s="2"/>
      <c r="D67" s="127"/>
      <c r="G67" s="127"/>
      <c r="I67" s="147"/>
      <c r="J67" s="127"/>
      <c r="M67" s="116"/>
      <c r="O67" s="116"/>
      <c r="P67" s="127"/>
      <c r="U67" s="2"/>
    </row>
    <row r="68" spans="1:21">
      <c r="O68" s="927"/>
    </row>
  </sheetData>
  <sortState ref="A13:Z60">
    <sortCondition ref="B13"/>
  </sortState>
  <phoneticPr fontId="60" type="noConversion"/>
  <pageMargins left="0.75" right="0.75" top="1" bottom="1" header="0.5" footer="0.5"/>
  <headerFooter alignWithMargins="0"/>
  <drawing r:id="rId1"/>
  <legacyDrawing r:id="rId2"/>
  <controls>
    <mc:AlternateContent xmlns:mc="http://schemas.openxmlformats.org/markup-compatibility/2006">
      <mc:Choice Requires="x14">
        <control shapeId="25601" r:id="rId3" name="CommandButton1">
          <controlPr defaultSize="0" autoLine="0" r:id="rId4">
            <anchor moveWithCells="1">
              <from>
                <xdr:col>8</xdr:col>
                <xdr:colOff>552450</xdr:colOff>
                <xdr:row>2</xdr:row>
                <xdr:rowOff>9525</xdr:rowOff>
              </from>
              <to>
                <xdr:col>12</xdr:col>
                <xdr:colOff>142875</xdr:colOff>
                <xdr:row>6</xdr:row>
                <xdr:rowOff>38100</xdr:rowOff>
              </to>
            </anchor>
          </controlPr>
        </control>
      </mc:Choice>
      <mc:Fallback>
        <control shapeId="25601" r:id="rId3" name="CommandButto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10"/>
  <dimension ref="A1:AI98"/>
  <sheetViews>
    <sheetView zoomScale="75" workbookViewId="0">
      <pane ySplit="11" topLeftCell="A41" activePane="bottomLeft" state="frozen"/>
      <selection activeCell="W48" sqref="W48"/>
      <selection pane="bottomLeft" activeCell="U62" sqref="U62"/>
    </sheetView>
  </sheetViews>
  <sheetFormatPr defaultColWidth="9.6640625" defaultRowHeight="15"/>
  <cols>
    <col min="1" max="1" width="6" customWidth="1"/>
    <col min="2" max="2" width="6.21875" customWidth="1"/>
    <col min="4" max="4" width="7.6640625" style="127" customWidth="1"/>
    <col min="5" max="5" width="4.44140625" customWidth="1"/>
    <col min="6" max="6" width="5.6640625" customWidth="1"/>
    <col min="8" max="8" width="8.77734375" customWidth="1"/>
    <col min="9" max="9" width="12.44140625" customWidth="1"/>
    <col min="10" max="10" width="7.6640625" customWidth="1"/>
    <col min="13" max="13" width="9.6640625" style="116"/>
    <col min="16" max="16" width="7.6640625" customWidth="1"/>
    <col min="19" max="19" width="10.6640625" customWidth="1"/>
    <col min="20" max="20" width="13.44140625" bestFit="1" customWidth="1"/>
    <col min="21" max="21" width="11.6640625" customWidth="1"/>
    <col min="22" max="22" width="10" style="2" customWidth="1"/>
    <col min="23" max="23" width="10.6640625" bestFit="1" customWidth="1"/>
  </cols>
  <sheetData>
    <row r="1" spans="1:35">
      <c r="A1" t="s">
        <v>0</v>
      </c>
      <c r="B1" s="440" t="str">
        <f ca="1">CELL("filename",B2)</f>
        <v>O:\DCF\SALMON\FORECAST\2015\[2015_Copper River Wild Sockeye forecast_FINAL.xlsm]ln13rpsxBYE</v>
      </c>
      <c r="C1" s="2"/>
      <c r="G1" t="s">
        <v>153</v>
      </c>
      <c r="H1" s="127"/>
      <c r="I1" s="147"/>
      <c r="J1" s="127"/>
      <c r="O1" s="116"/>
      <c r="P1" s="127"/>
      <c r="U1" s="2"/>
      <c r="Z1" s="2"/>
    </row>
    <row r="2" spans="1:35">
      <c r="C2" s="2"/>
      <c r="G2" s="148" t="s">
        <v>154</v>
      </c>
      <c r="H2" s="149" t="s">
        <v>203</v>
      </c>
      <c r="I2" s="147"/>
      <c r="J2" s="127"/>
      <c r="O2" s="116"/>
      <c r="P2" s="127"/>
      <c r="U2" s="2"/>
      <c r="Z2" s="2"/>
    </row>
    <row r="3" spans="1:35">
      <c r="C3" s="2"/>
      <c r="G3" s="148" t="s">
        <v>155</v>
      </c>
      <c r="H3" s="149" t="s">
        <v>204</v>
      </c>
      <c r="I3" s="147"/>
      <c r="J3" s="127"/>
      <c r="O3" s="116"/>
      <c r="P3" s="127"/>
      <c r="U3" s="2"/>
      <c r="Z3" s="2"/>
    </row>
    <row r="4" spans="1:35">
      <c r="C4" s="2"/>
      <c r="G4" s="54" t="s">
        <v>253</v>
      </c>
      <c r="H4" s="241">
        <v>5</v>
      </c>
      <c r="I4" s="147"/>
      <c r="J4" s="127"/>
      <c r="O4" s="116"/>
      <c r="P4" s="127"/>
      <c r="U4" s="2"/>
      <c r="Z4" s="2"/>
    </row>
    <row r="5" spans="1:35">
      <c r="B5" s="13"/>
      <c r="C5" s="2"/>
      <c r="G5" s="127"/>
      <c r="I5" s="147"/>
      <c r="J5" s="127"/>
      <c r="O5" s="116"/>
      <c r="P5" s="127"/>
      <c r="U5" s="2"/>
      <c r="Z5" s="2"/>
    </row>
    <row r="6" spans="1:35">
      <c r="B6" s="13"/>
      <c r="C6" s="2"/>
      <c r="G6" s="127"/>
      <c r="I6" s="147"/>
      <c r="J6" s="127"/>
      <c r="O6" s="116"/>
      <c r="P6" s="127"/>
      <c r="U6" s="2"/>
      <c r="Z6" s="2"/>
    </row>
    <row r="7" spans="1:35">
      <c r="C7" s="2"/>
      <c r="G7" s="127"/>
      <c r="I7" s="147"/>
      <c r="J7" s="127"/>
      <c r="O7" s="116"/>
      <c r="P7" s="127"/>
      <c r="U7" s="2"/>
      <c r="Z7" s="2"/>
    </row>
    <row r="8" spans="1:35">
      <c r="C8" s="2"/>
      <c r="G8" s="127"/>
      <c r="I8" s="147"/>
      <c r="J8" s="127"/>
      <c r="O8" s="116"/>
      <c r="P8" s="127"/>
      <c r="U8" s="2"/>
      <c r="Z8" s="2"/>
      <c r="AA8" t="s">
        <v>156</v>
      </c>
    </row>
    <row r="9" spans="1:35">
      <c r="A9" s="123"/>
      <c r="B9" s="123"/>
      <c r="C9" s="150" t="s">
        <v>157</v>
      </c>
      <c r="D9" s="151"/>
      <c r="E9" s="121"/>
      <c r="F9" s="119"/>
      <c r="G9" s="152"/>
      <c r="H9" s="119" t="s">
        <v>158</v>
      </c>
      <c r="I9" s="154"/>
      <c r="J9" s="152"/>
      <c r="K9" s="119"/>
      <c r="L9" s="119"/>
      <c r="M9" s="181"/>
      <c r="N9" s="121" t="s">
        <v>159</v>
      </c>
      <c r="O9" s="182"/>
      <c r="P9" s="152"/>
      <c r="Q9" s="119"/>
      <c r="R9" s="126"/>
      <c r="S9" s="121" t="s">
        <v>160</v>
      </c>
      <c r="T9" s="119"/>
      <c r="U9" s="157"/>
      <c r="V9" s="157"/>
      <c r="W9" s="126"/>
      <c r="X9" s="122" t="s">
        <v>109</v>
      </c>
      <c r="Y9" s="415" t="s">
        <v>329</v>
      </c>
      <c r="Z9" s="205" t="s">
        <v>161</v>
      </c>
      <c r="AA9" s="164" t="s">
        <v>162</v>
      </c>
      <c r="AB9" s="164" t="s">
        <v>163</v>
      </c>
      <c r="AC9" s="164" t="s">
        <v>164</v>
      </c>
      <c r="AD9" s="158" t="s">
        <v>25</v>
      </c>
      <c r="AE9" s="159"/>
    </row>
    <row r="10" spans="1:35">
      <c r="A10" s="100" t="s">
        <v>23</v>
      </c>
      <c r="B10" s="139" t="s">
        <v>29</v>
      </c>
      <c r="C10" s="206" t="s">
        <v>165</v>
      </c>
      <c r="D10" s="207" t="s">
        <v>166</v>
      </c>
      <c r="E10" s="123"/>
      <c r="F10" s="123"/>
      <c r="G10" s="133"/>
      <c r="H10" s="123"/>
      <c r="I10" s="208" t="s">
        <v>167</v>
      </c>
      <c r="J10" s="207" t="s">
        <v>168</v>
      </c>
      <c r="K10" s="209" t="s">
        <v>167</v>
      </c>
      <c r="L10" s="123"/>
      <c r="M10" s="221" t="s">
        <v>169</v>
      </c>
      <c r="N10" s="123"/>
      <c r="O10" s="183"/>
      <c r="P10" s="211" t="s">
        <v>24</v>
      </c>
      <c r="Q10" s="122" t="s">
        <v>170</v>
      </c>
      <c r="R10" s="122" t="s">
        <v>171</v>
      </c>
      <c r="S10" s="123"/>
      <c r="T10" s="123"/>
      <c r="U10" s="212" t="s">
        <v>24</v>
      </c>
      <c r="V10" s="212" t="s">
        <v>170</v>
      </c>
      <c r="W10" s="122" t="s">
        <v>171</v>
      </c>
      <c r="X10" s="100" t="s">
        <v>115</v>
      </c>
      <c r="Y10" s="416" t="s">
        <v>323</v>
      </c>
      <c r="Z10" s="132" t="s">
        <v>193</v>
      </c>
      <c r="AA10" s="122" t="s">
        <v>172</v>
      </c>
      <c r="AB10" s="122" t="s">
        <v>112</v>
      </c>
      <c r="AC10" s="122" t="s">
        <v>29</v>
      </c>
      <c r="AD10" s="164" t="s">
        <v>173</v>
      </c>
      <c r="AE10" s="164" t="s">
        <v>174</v>
      </c>
    </row>
    <row r="11" spans="1:35" ht="16.5">
      <c r="A11" s="125" t="s">
        <v>27</v>
      </c>
      <c r="B11" s="27" t="s">
        <v>27</v>
      </c>
      <c r="C11" s="163" t="s">
        <v>161</v>
      </c>
      <c r="D11" s="214" t="s">
        <v>240</v>
      </c>
      <c r="E11" s="188" t="s">
        <v>175</v>
      </c>
      <c r="F11" s="188" t="s">
        <v>176</v>
      </c>
      <c r="G11" s="214" t="s">
        <v>152</v>
      </c>
      <c r="H11" s="215" t="s">
        <v>177</v>
      </c>
      <c r="I11" s="216" t="s">
        <v>177</v>
      </c>
      <c r="J11" s="214" t="s">
        <v>239</v>
      </c>
      <c r="K11" s="188" t="s">
        <v>168</v>
      </c>
      <c r="L11" s="188" t="s">
        <v>241</v>
      </c>
      <c r="M11" s="217" t="s">
        <v>178</v>
      </c>
      <c r="N11" s="188" t="s">
        <v>242</v>
      </c>
      <c r="O11" s="217" t="s">
        <v>243</v>
      </c>
      <c r="P11" s="214" t="s">
        <v>239</v>
      </c>
      <c r="Q11" s="188" t="s">
        <v>244</v>
      </c>
      <c r="R11" s="188" t="s">
        <v>244</v>
      </c>
      <c r="S11" s="188" t="s">
        <v>242</v>
      </c>
      <c r="T11" s="217" t="s">
        <v>243</v>
      </c>
      <c r="U11" s="214" t="s">
        <v>239</v>
      </c>
      <c r="V11" s="188" t="s">
        <v>244</v>
      </c>
      <c r="W11" s="188" t="s">
        <v>244</v>
      </c>
      <c r="X11" s="234" t="s">
        <v>245</v>
      </c>
      <c r="Y11" s="555" t="s">
        <v>115</v>
      </c>
      <c r="Z11" s="125" t="s">
        <v>200</v>
      </c>
      <c r="AA11" s="125" t="s">
        <v>179</v>
      </c>
      <c r="AB11" s="125" t="s">
        <v>179</v>
      </c>
      <c r="AC11" s="125" t="s">
        <v>27</v>
      </c>
      <c r="AD11" s="164" t="s">
        <v>170</v>
      </c>
      <c r="AE11" s="164" t="s">
        <v>171</v>
      </c>
      <c r="AF11" s="164" t="s">
        <v>111</v>
      </c>
    </row>
    <row r="12" spans="1:35">
      <c r="A12" s="36"/>
      <c r="B12" s="31"/>
      <c r="C12" s="165"/>
      <c r="D12" s="131"/>
      <c r="E12" s="31"/>
      <c r="F12" s="31"/>
      <c r="G12" s="131"/>
      <c r="H12" s="31"/>
      <c r="I12" s="166"/>
      <c r="J12" s="131"/>
      <c r="K12" s="31"/>
      <c r="L12" s="31"/>
      <c r="M12" s="184"/>
      <c r="N12" s="31"/>
      <c r="O12" s="184"/>
      <c r="P12" s="131"/>
      <c r="Q12" s="31"/>
      <c r="R12" s="31"/>
      <c r="S12" s="31"/>
      <c r="T12" s="31"/>
      <c r="U12" s="165"/>
      <c r="V12" s="165"/>
      <c r="W12" s="31"/>
      <c r="X12" s="46"/>
      <c r="Y12" s="46"/>
      <c r="Z12" s="162"/>
      <c r="AA12" s="123"/>
      <c r="AB12" s="123"/>
      <c r="AC12" s="123"/>
      <c r="AD12" s="36"/>
      <c r="AE12" s="46"/>
    </row>
    <row r="13" spans="1:35">
      <c r="A13" s="455">
        <v>1962</v>
      </c>
      <c r="B13" s="479">
        <f t="shared" ref="B13:B60" si="0">A13+$H$4</f>
        <v>1967</v>
      </c>
      <c r="C13" s="467">
        <f>VLOOKUP($A13,'Brd Tbl'!$A$8:$AX$64,2)</f>
        <v>416093.18072477408</v>
      </c>
      <c r="D13" s="436">
        <f>VLOOKUP($A13,'Brd Tbl'!$A$8:$AX$64,25)</f>
        <v>0.2984564768423042</v>
      </c>
      <c r="E13" s="461">
        <v>47</v>
      </c>
      <c r="F13" s="461">
        <v>45</v>
      </c>
      <c r="G13" s="462">
        <v>1.2169553305296306</v>
      </c>
      <c r="H13" s="462">
        <v>-9.465742255663606E-7</v>
      </c>
      <c r="I13" s="463">
        <v>3.2979368706185312E-7</v>
      </c>
      <c r="J13" s="489">
        <v>0.82309225022163379</v>
      </c>
      <c r="K13" s="461">
        <v>0.41567068924021044</v>
      </c>
      <c r="L13" s="461">
        <v>0.1547399652520042</v>
      </c>
      <c r="M13" s="462">
        <v>0.1794244502767961</v>
      </c>
      <c r="N13" s="440">
        <f t="shared" ref="N13:N60" si="1">D13-J13</f>
        <v>-0.52463577337932965</v>
      </c>
      <c r="O13" s="458">
        <f t="shared" ref="O13:O60" si="2">N13^2</f>
        <v>0.27524269470932733</v>
      </c>
      <c r="P13" s="436">
        <f t="shared" ref="P13:P60" si="3">J13</f>
        <v>0.82309225022163379</v>
      </c>
      <c r="Q13" s="440">
        <f t="shared" ref="Q13:Q40" si="4">$P13-SQRT($O$64)*$Q$64</f>
        <v>0.27144566820322469</v>
      </c>
      <c r="R13" s="440">
        <f t="shared" ref="R13:R60" si="5">$P13+SQRT($O$64)*$Q$64</f>
        <v>1.3747388322400429</v>
      </c>
      <c r="S13" s="466">
        <f t="shared" ref="S13:S59" si="6">EXP(D13)*C13-U13</f>
        <v>-386864.62420937978</v>
      </c>
      <c r="T13" s="440">
        <f t="shared" ref="T13:T60" si="7">S13^2</f>
        <v>149664237464.66464</v>
      </c>
      <c r="U13" s="467">
        <f t="shared" ref="U13:U60" si="8">EXP(P13)*C13</f>
        <v>947665.39162407874</v>
      </c>
      <c r="V13" s="467">
        <f t="shared" ref="V13:V60" si="9">EXP(Q13)*C13</f>
        <v>545855.83122801769</v>
      </c>
      <c r="W13" s="467">
        <f t="shared" ref="W13:W60" si="10">EXP(R13)*C13</f>
        <v>1645250.711092747</v>
      </c>
      <c r="X13" s="468">
        <f t="shared" ref="X13:X60" si="11">(+U13-EXP(D13)*C13)/(EXP(D13)*C13)</f>
        <v>0.68984325038075867</v>
      </c>
      <c r="Y13" s="468">
        <f t="shared" ref="Y13:Y60" si="12">ABS(X13)</f>
        <v>0.68984325038075867</v>
      </c>
      <c r="Z13" s="442">
        <f t="shared" ref="Z13:Z60" si="13">C13</f>
        <v>416093.18072477408</v>
      </c>
      <c r="AA13" s="471">
        <f t="shared" ref="AA13:AA60" si="14">(+G$62+H$62*C13)</f>
        <v>0.80806257092279465</v>
      </c>
      <c r="AB13" s="473">
        <f t="shared" ref="AB13:AB60" si="15">D13</f>
        <v>0.2984564768423042</v>
      </c>
      <c r="AC13" s="801">
        <f t="shared" ref="AC13:AC45" si="16">B13-1900</f>
        <v>67</v>
      </c>
      <c r="AD13" s="435">
        <f t="shared" ref="AD13:AD60" si="17">AA13-SQRT($O$64)*$Q$64</f>
        <v>0.25641598890438555</v>
      </c>
      <c r="AE13" s="441">
        <f t="shared" ref="AE13:AE60" si="18">AA13+SQRT($O$64)*$Q$64</f>
        <v>1.3597091529412038</v>
      </c>
      <c r="AF13" s="461"/>
      <c r="AG13" s="461"/>
      <c r="AH13" s="461"/>
      <c r="AI13" s="461"/>
    </row>
    <row r="14" spans="1:35">
      <c r="A14" s="455">
        <v>1963</v>
      </c>
      <c r="B14" s="479">
        <f t="shared" si="0"/>
        <v>1968</v>
      </c>
      <c r="C14" s="467">
        <f>VLOOKUP($A14,'Brd Tbl'!$A$8:$AX$64,2)</f>
        <v>271007.35305366298</v>
      </c>
      <c r="D14" s="436">
        <f>VLOOKUP($A14,'Brd Tbl'!$A$8:$AX$64,25)</f>
        <v>0.59617047723731031</v>
      </c>
      <c r="E14" s="461">
        <v>47</v>
      </c>
      <c r="F14" s="461">
        <v>45</v>
      </c>
      <c r="G14" s="462">
        <v>1.225377042362787</v>
      </c>
      <c r="H14" s="462">
        <v>-9.6875919352917498E-7</v>
      </c>
      <c r="I14" s="463">
        <v>3.3865189563169798E-7</v>
      </c>
      <c r="J14" s="489">
        <v>0.96283617757804407</v>
      </c>
      <c r="K14" s="461">
        <v>0.41942959435265287</v>
      </c>
      <c r="L14" s="461">
        <v>0.15386858442935256</v>
      </c>
      <c r="M14" s="462">
        <v>0.18242017280664644</v>
      </c>
      <c r="N14" s="440">
        <f t="shared" si="1"/>
        <v>-0.36666570034073376</v>
      </c>
      <c r="O14" s="458">
        <f t="shared" si="2"/>
        <v>0.13444373580636076</v>
      </c>
      <c r="P14" s="436">
        <f t="shared" si="3"/>
        <v>0.96283617757804407</v>
      </c>
      <c r="Q14" s="440">
        <f t="shared" si="4"/>
        <v>0.41118959555963497</v>
      </c>
      <c r="R14" s="440">
        <f t="shared" si="5"/>
        <v>1.5144827595964532</v>
      </c>
      <c r="S14" s="466">
        <f t="shared" si="6"/>
        <v>-217879.05086096469</v>
      </c>
      <c r="T14" s="440">
        <f t="shared" si="7"/>
        <v>47471280804.074837</v>
      </c>
      <c r="U14" s="467">
        <f t="shared" si="8"/>
        <v>709799.21277304029</v>
      </c>
      <c r="V14" s="467">
        <f t="shared" si="9"/>
        <v>408844.77022973727</v>
      </c>
      <c r="W14" s="467">
        <f t="shared" si="10"/>
        <v>1232289.0229710531</v>
      </c>
      <c r="X14" s="468">
        <f t="shared" si="11"/>
        <v>0.44291547232802336</v>
      </c>
      <c r="Y14" s="468">
        <f t="shared" si="12"/>
        <v>0.44291547232802336</v>
      </c>
      <c r="Z14" s="442">
        <f t="shared" si="13"/>
        <v>271007.35305366298</v>
      </c>
      <c r="AA14" s="471">
        <f t="shared" si="14"/>
        <v>0.94007983261630756</v>
      </c>
      <c r="AB14" s="473">
        <f t="shared" si="15"/>
        <v>0.59617047723731031</v>
      </c>
      <c r="AC14" s="801">
        <f t="shared" si="16"/>
        <v>68</v>
      </c>
      <c r="AD14" s="435">
        <f t="shared" si="17"/>
        <v>0.38843325059789846</v>
      </c>
      <c r="AE14" s="441">
        <f t="shared" si="18"/>
        <v>1.4917264146347167</v>
      </c>
      <c r="AF14" s="461"/>
      <c r="AG14" s="461"/>
      <c r="AH14" s="461"/>
      <c r="AI14" s="461"/>
    </row>
    <row r="15" spans="1:35">
      <c r="A15" s="455">
        <v>1964</v>
      </c>
      <c r="B15" s="479">
        <f t="shared" si="0"/>
        <v>1969</v>
      </c>
      <c r="C15" s="467">
        <f>VLOOKUP($A15,'Brd Tbl'!$A$8:$AX$64,2)</f>
        <v>233990.19926972012</v>
      </c>
      <c r="D15" s="436">
        <f>VLOOKUP($A15,'Brd Tbl'!$A$8:$AX$64,25)</f>
        <v>1.2735095152178313</v>
      </c>
      <c r="E15" s="461">
        <v>47</v>
      </c>
      <c r="F15" s="461">
        <v>45</v>
      </c>
      <c r="G15" s="462">
        <v>1.1485269883646287</v>
      </c>
      <c r="H15" s="462">
        <v>-8.5045152771139923E-7</v>
      </c>
      <c r="I15" s="463">
        <v>3.4159832838704118E-7</v>
      </c>
      <c r="J15" s="489">
        <v>0.94952966592620047</v>
      </c>
      <c r="K15" s="461">
        <v>0.42019680936031983</v>
      </c>
      <c r="L15" s="461">
        <v>0.12106335751870628</v>
      </c>
      <c r="M15" s="462">
        <v>0.1830474237228025</v>
      </c>
      <c r="N15" s="440">
        <f t="shared" si="1"/>
        <v>0.32397984929163082</v>
      </c>
      <c r="O15" s="458">
        <f t="shared" si="2"/>
        <v>0.10496294274702782</v>
      </c>
      <c r="P15" s="436">
        <f t="shared" si="3"/>
        <v>0.94952966592620047</v>
      </c>
      <c r="Q15" s="440">
        <f t="shared" si="4"/>
        <v>0.39788308390779137</v>
      </c>
      <c r="R15" s="440">
        <f t="shared" si="5"/>
        <v>1.5011762479446096</v>
      </c>
      <c r="S15" s="466">
        <f t="shared" si="6"/>
        <v>231387.66324882873</v>
      </c>
      <c r="T15" s="440">
        <f t="shared" si="7"/>
        <v>53540250703.753365</v>
      </c>
      <c r="U15" s="467">
        <f t="shared" si="8"/>
        <v>604746.21878456359</v>
      </c>
      <c r="V15" s="467">
        <f t="shared" si="9"/>
        <v>348334.18298723182</v>
      </c>
      <c r="W15" s="467">
        <f t="shared" si="10"/>
        <v>1049905.5418504034</v>
      </c>
      <c r="X15" s="468">
        <f t="shared" si="11"/>
        <v>-0.27673518346860615</v>
      </c>
      <c r="Y15" s="468">
        <f t="shared" si="12"/>
        <v>0.27673518346860615</v>
      </c>
      <c r="Z15" s="442">
        <f t="shared" si="13"/>
        <v>233990.19926972012</v>
      </c>
      <c r="AA15" s="471">
        <f t="shared" si="14"/>
        <v>0.97376267646596115</v>
      </c>
      <c r="AB15" s="473">
        <f t="shared" si="15"/>
        <v>1.2735095152178313</v>
      </c>
      <c r="AC15" s="801">
        <f t="shared" si="16"/>
        <v>69</v>
      </c>
      <c r="AD15" s="435">
        <f t="shared" si="17"/>
        <v>0.42211609444755205</v>
      </c>
      <c r="AE15" s="441">
        <f t="shared" si="18"/>
        <v>1.5254092584843701</v>
      </c>
      <c r="AF15" s="461"/>
      <c r="AG15" s="461"/>
      <c r="AH15" s="461"/>
      <c r="AI15" s="461"/>
    </row>
    <row r="16" spans="1:35">
      <c r="A16" s="455">
        <v>1965</v>
      </c>
      <c r="B16" s="479">
        <f t="shared" si="0"/>
        <v>1970</v>
      </c>
      <c r="C16" s="467">
        <f>VLOOKUP($A16,'Brd Tbl'!$A$8:$AX$64,2)</f>
        <v>373563.22002911044</v>
      </c>
      <c r="D16" s="436">
        <f>VLOOKUP($A16,'Brd Tbl'!$A$8:$AX$64,25)</f>
        <v>1.1040927693302023</v>
      </c>
      <c r="E16" s="461">
        <v>47</v>
      </c>
      <c r="F16" s="461">
        <v>45</v>
      </c>
      <c r="G16" s="462">
        <v>1.1675325277229185</v>
      </c>
      <c r="H16" s="462">
        <v>-8.841958309394624E-7</v>
      </c>
      <c r="I16" s="463">
        <v>3.352032113361719E-7</v>
      </c>
      <c r="J16" s="489">
        <v>0.837229485980858</v>
      </c>
      <c r="K16" s="461">
        <v>0.42094815851252038</v>
      </c>
      <c r="L16" s="461">
        <v>0.13391482960777754</v>
      </c>
      <c r="M16" s="462">
        <v>0.18376544352593091</v>
      </c>
      <c r="N16" s="440">
        <f t="shared" si="1"/>
        <v>0.26686328334934428</v>
      </c>
      <c r="O16" s="458">
        <f t="shared" si="2"/>
        <v>7.1216011999992418E-2</v>
      </c>
      <c r="P16" s="436">
        <f t="shared" si="3"/>
        <v>0.837229485980858</v>
      </c>
      <c r="Q16" s="440">
        <f t="shared" si="4"/>
        <v>0.2855829039624489</v>
      </c>
      <c r="R16" s="440">
        <f t="shared" si="5"/>
        <v>1.3888760679992671</v>
      </c>
      <c r="S16" s="466">
        <f t="shared" si="6"/>
        <v>263932.96683685912</v>
      </c>
      <c r="T16" s="440">
        <f t="shared" si="7"/>
        <v>69660610983.30658</v>
      </c>
      <c r="U16" s="467">
        <f t="shared" si="8"/>
        <v>862915.4723805039</v>
      </c>
      <c r="V16" s="467">
        <f t="shared" si="9"/>
        <v>497039.82715728978</v>
      </c>
      <c r="W16" s="467">
        <f t="shared" si="10"/>
        <v>1498115.5870996828</v>
      </c>
      <c r="X16" s="468">
        <f t="shared" si="11"/>
        <v>-0.23422224112070486</v>
      </c>
      <c r="Y16" s="468">
        <f t="shared" si="12"/>
        <v>0.23422224112070486</v>
      </c>
      <c r="Z16" s="442">
        <f t="shared" si="13"/>
        <v>373563.22002911044</v>
      </c>
      <c r="AA16" s="471">
        <f t="shared" si="14"/>
        <v>0.84676165711956608</v>
      </c>
      <c r="AB16" s="473">
        <f t="shared" si="15"/>
        <v>1.1040927693302023</v>
      </c>
      <c r="AC16" s="801">
        <f t="shared" si="16"/>
        <v>70</v>
      </c>
      <c r="AD16" s="435">
        <f t="shared" si="17"/>
        <v>0.29511507510115698</v>
      </c>
      <c r="AE16" s="441">
        <f t="shared" si="18"/>
        <v>1.3984082391379751</v>
      </c>
      <c r="AF16" s="461"/>
      <c r="AG16" s="461"/>
      <c r="AH16" s="461"/>
      <c r="AI16" s="461"/>
    </row>
    <row r="17" spans="1:35">
      <c r="A17" s="455">
        <v>1966</v>
      </c>
      <c r="B17" s="479">
        <f t="shared" si="0"/>
        <v>1971</v>
      </c>
      <c r="C17" s="467">
        <f>VLOOKUP($A17,'Brd Tbl'!$A$8:$AX$64,2)</f>
        <v>374673.10456808144</v>
      </c>
      <c r="D17" s="436">
        <f>VLOOKUP($A17,'Brd Tbl'!$A$8:$AX$64,25)</f>
        <v>0.86131587657184083</v>
      </c>
      <c r="E17" s="461">
        <v>47</v>
      </c>
      <c r="F17" s="461">
        <v>45</v>
      </c>
      <c r="G17" s="462">
        <v>1.1855245646335575</v>
      </c>
      <c r="H17" s="462">
        <v>-9.0838061236849346E-7</v>
      </c>
      <c r="I17" s="463">
        <v>3.3660105268926167E-7</v>
      </c>
      <c r="J17" s="489">
        <v>0.8451787804679991</v>
      </c>
      <c r="K17" s="461">
        <v>0.42275030488473725</v>
      </c>
      <c r="L17" s="461">
        <v>0.13929805261275602</v>
      </c>
      <c r="M17" s="462">
        <v>0.18527513727336339</v>
      </c>
      <c r="N17" s="440">
        <f t="shared" si="1"/>
        <v>1.613709610384173E-2</v>
      </c>
      <c r="O17" s="458">
        <f t="shared" si="2"/>
        <v>2.6040587066462396E-4</v>
      </c>
      <c r="P17" s="436">
        <f t="shared" si="3"/>
        <v>0.8451787804679991</v>
      </c>
      <c r="Q17" s="440">
        <f t="shared" si="4"/>
        <v>0.29353219844959</v>
      </c>
      <c r="R17" s="440">
        <f t="shared" si="5"/>
        <v>1.3968253624864082</v>
      </c>
      <c r="S17" s="466">
        <f t="shared" si="6"/>
        <v>14191.987600143766</v>
      </c>
      <c r="T17" s="440">
        <f t="shared" si="7"/>
        <v>201412512.0426344</v>
      </c>
      <c r="U17" s="467">
        <f t="shared" si="8"/>
        <v>872386.62689910177</v>
      </c>
      <c r="V17" s="467">
        <f t="shared" si="9"/>
        <v>502495.21781324514</v>
      </c>
      <c r="W17" s="467">
        <f t="shared" si="10"/>
        <v>1514558.5466551522</v>
      </c>
      <c r="X17" s="468">
        <f t="shared" si="11"/>
        <v>-1.6007590717896616E-2</v>
      </c>
      <c r="Y17" s="468">
        <f t="shared" si="12"/>
        <v>1.6007590717896616E-2</v>
      </c>
      <c r="Z17" s="442">
        <f t="shared" si="13"/>
        <v>374673.10456808144</v>
      </c>
      <c r="AA17" s="471">
        <f t="shared" si="14"/>
        <v>0.84575174512483242</v>
      </c>
      <c r="AB17" s="473">
        <f t="shared" si="15"/>
        <v>0.86131587657184083</v>
      </c>
      <c r="AC17" s="801">
        <f t="shared" si="16"/>
        <v>71</v>
      </c>
      <c r="AD17" s="435">
        <f t="shared" si="17"/>
        <v>0.29410516310642332</v>
      </c>
      <c r="AE17" s="441">
        <f t="shared" si="18"/>
        <v>1.3973983271432415</v>
      </c>
      <c r="AF17" s="461"/>
      <c r="AG17" s="461"/>
      <c r="AH17" s="461"/>
      <c r="AI17" s="461"/>
    </row>
    <row r="18" spans="1:35">
      <c r="A18" s="455">
        <v>1967</v>
      </c>
      <c r="B18" s="479">
        <f t="shared" si="0"/>
        <v>1972</v>
      </c>
      <c r="C18" s="467">
        <f>VLOOKUP($A18,'Brd Tbl'!$A$8:$AX$64,2)</f>
        <v>152518.20574374442</v>
      </c>
      <c r="D18" s="436">
        <f>VLOOKUP($A18,'Brd Tbl'!$A$8:$AX$64,25)</f>
        <v>1.5349541614131024</v>
      </c>
      <c r="E18" s="461">
        <v>47</v>
      </c>
      <c r="F18" s="461">
        <v>45</v>
      </c>
      <c r="G18" s="462">
        <v>1.1076378414457126</v>
      </c>
      <c r="H18" s="462">
        <v>-7.8178672423221555E-7</v>
      </c>
      <c r="I18" s="463">
        <v>3.4434098825889642E-7</v>
      </c>
      <c r="J18" s="489">
        <v>0.98840113299153565</v>
      </c>
      <c r="K18" s="461">
        <v>0.41570154933649933</v>
      </c>
      <c r="L18" s="461">
        <v>0.10277510750460851</v>
      </c>
      <c r="M18" s="462">
        <v>0.17892492861365866</v>
      </c>
      <c r="N18" s="440">
        <f t="shared" si="1"/>
        <v>0.54655302842156672</v>
      </c>
      <c r="O18" s="458">
        <f t="shared" si="2"/>
        <v>0.29872021287678591</v>
      </c>
      <c r="P18" s="436">
        <f t="shared" si="3"/>
        <v>0.98840113299153565</v>
      </c>
      <c r="Q18" s="440">
        <f t="shared" si="4"/>
        <v>0.43675455097312654</v>
      </c>
      <c r="R18" s="440">
        <f t="shared" si="5"/>
        <v>1.5400477150099448</v>
      </c>
      <c r="S18" s="466">
        <f t="shared" si="6"/>
        <v>298047.69154922845</v>
      </c>
      <c r="T18" s="440">
        <f t="shared" si="7"/>
        <v>88832426437.82402</v>
      </c>
      <c r="U18" s="467">
        <f t="shared" si="8"/>
        <v>409806.50277231151</v>
      </c>
      <c r="V18" s="467">
        <f t="shared" si="9"/>
        <v>236048.79020649393</v>
      </c>
      <c r="W18" s="467">
        <f t="shared" si="10"/>
        <v>711468.88559589151</v>
      </c>
      <c r="X18" s="468">
        <f t="shared" si="11"/>
        <v>-0.42105802853213226</v>
      </c>
      <c r="Y18" s="468">
        <f t="shared" si="12"/>
        <v>0.42105802853213226</v>
      </c>
      <c r="Z18" s="442">
        <f t="shared" si="13"/>
        <v>152518.20574374442</v>
      </c>
      <c r="AA18" s="471">
        <f t="shared" si="14"/>
        <v>1.0478961026086757</v>
      </c>
      <c r="AB18" s="473">
        <f t="shared" si="15"/>
        <v>1.5349541614131024</v>
      </c>
      <c r="AC18" s="801">
        <f t="shared" si="16"/>
        <v>72</v>
      </c>
      <c r="AD18" s="435">
        <f t="shared" si="17"/>
        <v>0.49624952059026661</v>
      </c>
      <c r="AE18" s="441">
        <f t="shared" si="18"/>
        <v>1.5995426846270848</v>
      </c>
      <c r="AF18" s="461"/>
      <c r="AG18" s="461"/>
      <c r="AH18" s="461"/>
      <c r="AI18" s="461"/>
    </row>
    <row r="19" spans="1:35">
      <c r="A19" s="455">
        <v>1968</v>
      </c>
      <c r="B19" s="479">
        <f t="shared" si="0"/>
        <v>1973</v>
      </c>
      <c r="C19" s="467">
        <f>VLOOKUP($A19,'Brd Tbl'!$A$8:$AX$64,2)</f>
        <v>234701.76831870052</v>
      </c>
      <c r="D19" s="436">
        <f>VLOOKUP($A19,'Brd Tbl'!$A$8:$AX$64,25)</f>
        <v>0.92685597540106757</v>
      </c>
      <c r="E19" s="461">
        <v>47</v>
      </c>
      <c r="F19" s="461">
        <v>45</v>
      </c>
      <c r="G19" s="462">
        <v>1.1925503762496332</v>
      </c>
      <c r="H19" s="462">
        <v>-9.1907892074967879E-7</v>
      </c>
      <c r="I19" s="463">
        <v>3.435817003982817E-7</v>
      </c>
      <c r="J19" s="489">
        <v>0.97684092832524083</v>
      </c>
      <c r="K19" s="461">
        <v>0.42269612955242813</v>
      </c>
      <c r="L19" s="461">
        <v>0.13719702166312403</v>
      </c>
      <c r="M19" s="462">
        <v>0.18522751834467899</v>
      </c>
      <c r="N19" s="440">
        <f t="shared" si="1"/>
        <v>-4.9984952924173265E-2</v>
      </c>
      <c r="O19" s="458">
        <f t="shared" si="2"/>
        <v>2.4984955188318172E-3</v>
      </c>
      <c r="P19" s="436">
        <f t="shared" si="3"/>
        <v>0.97684092832524083</v>
      </c>
      <c r="Q19" s="440">
        <f t="shared" si="4"/>
        <v>0.42519434630683173</v>
      </c>
      <c r="R19" s="440">
        <f t="shared" si="5"/>
        <v>1.5284875103436499</v>
      </c>
      <c r="S19" s="466">
        <f t="shared" si="6"/>
        <v>-30393.687247626251</v>
      </c>
      <c r="T19" s="440">
        <f t="shared" si="7"/>
        <v>923776224.5065186</v>
      </c>
      <c r="U19" s="467">
        <f t="shared" si="8"/>
        <v>623380.17507273075</v>
      </c>
      <c r="V19" s="467">
        <f t="shared" si="9"/>
        <v>359067.35293164919</v>
      </c>
      <c r="W19" s="467">
        <f t="shared" si="10"/>
        <v>1082256.1268823612</v>
      </c>
      <c r="X19" s="468">
        <f t="shared" si="11"/>
        <v>5.1255277939133356E-2</v>
      </c>
      <c r="Y19" s="468">
        <f t="shared" si="12"/>
        <v>5.1255277939133356E-2</v>
      </c>
      <c r="Z19" s="442">
        <f t="shared" si="13"/>
        <v>234701.76831870052</v>
      </c>
      <c r="AA19" s="471">
        <f t="shared" si="14"/>
        <v>0.97311520180313471</v>
      </c>
      <c r="AB19" s="473">
        <f t="shared" si="15"/>
        <v>0.92685597540106757</v>
      </c>
      <c r="AC19" s="801">
        <f t="shared" si="16"/>
        <v>73</v>
      </c>
      <c r="AD19" s="435">
        <f t="shared" si="17"/>
        <v>0.42146861978472561</v>
      </c>
      <c r="AE19" s="441">
        <f t="shared" si="18"/>
        <v>1.5247617838215439</v>
      </c>
      <c r="AF19" s="461"/>
      <c r="AG19" s="461"/>
      <c r="AH19" s="461"/>
      <c r="AI19" s="461"/>
    </row>
    <row r="20" spans="1:35">
      <c r="A20" s="455">
        <v>1969</v>
      </c>
      <c r="B20" s="479">
        <f t="shared" si="0"/>
        <v>1974</v>
      </c>
      <c r="C20" s="467">
        <f>VLOOKUP($A20,'Brd Tbl'!$A$8:$AX$64,2)</f>
        <v>527822.37255732983</v>
      </c>
      <c r="D20" s="436">
        <f>VLOOKUP($A20,'Brd Tbl'!$A$8:$AX$64,25)</f>
        <v>0.19034048359242081</v>
      </c>
      <c r="E20" s="461">
        <v>47</v>
      </c>
      <c r="F20" s="461">
        <v>45</v>
      </c>
      <c r="G20" s="462">
        <v>1.1976799586888125</v>
      </c>
      <c r="H20" s="462">
        <v>-9.0997026397614352E-7</v>
      </c>
      <c r="I20" s="463">
        <v>3.2837737391248607E-7</v>
      </c>
      <c r="J20" s="489">
        <v>0.71737729500030478</v>
      </c>
      <c r="K20" s="461">
        <v>0.41554708529391438</v>
      </c>
      <c r="L20" s="461">
        <v>0.14577060281587437</v>
      </c>
      <c r="M20" s="462">
        <v>0.17937072461999479</v>
      </c>
      <c r="N20" s="440">
        <f t="shared" si="1"/>
        <v>-0.52703681140788394</v>
      </c>
      <c r="O20" s="458">
        <f t="shared" si="2"/>
        <v>0.27776780057898942</v>
      </c>
      <c r="P20" s="436">
        <f t="shared" si="3"/>
        <v>0.71737729500030478</v>
      </c>
      <c r="Q20" s="440">
        <f t="shared" si="4"/>
        <v>0.16573071298189568</v>
      </c>
      <c r="R20" s="440">
        <f t="shared" si="5"/>
        <v>1.2690238770187139</v>
      </c>
      <c r="S20" s="466">
        <f t="shared" si="6"/>
        <v>-443049.19109582936</v>
      </c>
      <c r="T20" s="440">
        <f t="shared" si="7"/>
        <v>196292585730.66873</v>
      </c>
      <c r="U20" s="467">
        <f t="shared" si="8"/>
        <v>1081535.5398656507</v>
      </c>
      <c r="V20" s="467">
        <f t="shared" si="9"/>
        <v>622965.11652099399</v>
      </c>
      <c r="W20" s="467">
        <f t="shared" si="10"/>
        <v>1877663.9220585716</v>
      </c>
      <c r="X20" s="468">
        <f t="shared" si="11"/>
        <v>0.69390550314733757</v>
      </c>
      <c r="Y20" s="468">
        <f t="shared" si="12"/>
        <v>0.69390550314733757</v>
      </c>
      <c r="Z20" s="442">
        <f t="shared" si="13"/>
        <v>527822.37255732983</v>
      </c>
      <c r="AA20" s="471">
        <f t="shared" si="14"/>
        <v>0.70639735527954284</v>
      </c>
      <c r="AB20" s="473">
        <f t="shared" si="15"/>
        <v>0.19034048359242081</v>
      </c>
      <c r="AC20" s="801">
        <f t="shared" si="16"/>
        <v>74</v>
      </c>
      <c r="AD20" s="435">
        <f t="shared" si="17"/>
        <v>0.15475077326113373</v>
      </c>
      <c r="AE20" s="441">
        <f t="shared" si="18"/>
        <v>1.2580439372979519</v>
      </c>
      <c r="AF20" s="461"/>
      <c r="AG20" s="461"/>
      <c r="AH20" s="461"/>
      <c r="AI20" s="461"/>
    </row>
    <row r="21" spans="1:35">
      <c r="A21" s="455">
        <v>1970</v>
      </c>
      <c r="B21" s="479">
        <f t="shared" si="0"/>
        <v>1975</v>
      </c>
      <c r="C21" s="467">
        <f>VLOOKUP($A21,'Brd Tbl'!$A$8:$AX$64,2)</f>
        <v>329729.48946597357</v>
      </c>
      <c r="D21" s="436">
        <f>VLOOKUP($A21,'Brd Tbl'!$A$8:$AX$64,25)</f>
        <v>4.9939187004485797E-2</v>
      </c>
      <c r="E21" s="461">
        <v>47</v>
      </c>
      <c r="F21" s="461">
        <v>45</v>
      </c>
      <c r="G21" s="462">
        <v>1.2622176383358465</v>
      </c>
      <c r="H21" s="462">
        <v>-1.0184213214393319E-6</v>
      </c>
      <c r="I21" s="463">
        <v>3.2254681563688442E-7</v>
      </c>
      <c r="J21" s="489">
        <v>0.92641409595639357</v>
      </c>
      <c r="K21" s="461">
        <v>0.40302190735191173</v>
      </c>
      <c r="L21" s="461">
        <v>0.18136286788829126</v>
      </c>
      <c r="M21" s="462">
        <v>0.16893582109992528</v>
      </c>
      <c r="N21" s="440">
        <f t="shared" si="1"/>
        <v>-0.87647490895190772</v>
      </c>
      <c r="O21" s="458">
        <f t="shared" si="2"/>
        <v>0.76820826602225489</v>
      </c>
      <c r="P21" s="436">
        <f t="shared" si="3"/>
        <v>0.92641409595639357</v>
      </c>
      <c r="Q21" s="440">
        <f t="shared" si="4"/>
        <v>0.37476751393798446</v>
      </c>
      <c r="R21" s="440">
        <f t="shared" si="5"/>
        <v>1.4780606779748027</v>
      </c>
      <c r="S21" s="466">
        <f t="shared" si="6"/>
        <v>-486097.03249402565</v>
      </c>
      <c r="T21" s="440">
        <f t="shared" si="7"/>
        <v>236290324999.49783</v>
      </c>
      <c r="U21" s="467">
        <f t="shared" si="8"/>
        <v>832711.03511569928</v>
      </c>
      <c r="V21" s="467">
        <f t="shared" si="9"/>
        <v>479642.05326401815</v>
      </c>
      <c r="W21" s="467">
        <f t="shared" si="10"/>
        <v>1445677.38229945</v>
      </c>
      <c r="X21" s="468">
        <f t="shared" si="11"/>
        <v>1.4024160271003148</v>
      </c>
      <c r="Y21" s="468">
        <f t="shared" si="12"/>
        <v>1.4024160271003148</v>
      </c>
      <c r="Z21" s="442">
        <f t="shared" si="13"/>
        <v>329729.48946597357</v>
      </c>
      <c r="AA21" s="471">
        <f t="shared" si="14"/>
        <v>0.88664707647199548</v>
      </c>
      <c r="AB21" s="473">
        <f t="shared" si="15"/>
        <v>4.9939187004485797E-2</v>
      </c>
      <c r="AC21" s="801">
        <f t="shared" si="16"/>
        <v>75</v>
      </c>
      <c r="AD21" s="435">
        <f t="shared" si="17"/>
        <v>0.33500049445358637</v>
      </c>
      <c r="AE21" s="441">
        <f t="shared" si="18"/>
        <v>1.4382936584904047</v>
      </c>
      <c r="AF21" s="461"/>
      <c r="AG21" s="461"/>
      <c r="AH21" s="461"/>
      <c r="AI21" s="461"/>
    </row>
    <row r="22" spans="1:35">
      <c r="A22" s="455">
        <v>1971</v>
      </c>
      <c r="B22" s="479">
        <f t="shared" si="0"/>
        <v>1976</v>
      </c>
      <c r="C22" s="467">
        <f>VLOOKUP($A22,'Brd Tbl'!$A$8:$AX$64,2)</f>
        <v>585402.09872581216</v>
      </c>
      <c r="D22" s="436">
        <f>VLOOKUP($A22,'Brd Tbl'!$A$8:$AX$64,25)</f>
        <v>0.47455890932722866</v>
      </c>
      <c r="E22" s="461">
        <v>47</v>
      </c>
      <c r="F22" s="461">
        <v>45</v>
      </c>
      <c r="G22" s="462">
        <v>1.1870242746065855</v>
      </c>
      <c r="H22" s="462">
        <v>-9.0333758148505834E-7</v>
      </c>
      <c r="I22" s="463">
        <v>3.337409728342896E-7</v>
      </c>
      <c r="J22" s="489">
        <v>0.65820855854733307</v>
      </c>
      <c r="K22" s="461">
        <v>0.42188987570132636</v>
      </c>
      <c r="L22" s="461">
        <v>0.14001081340579352</v>
      </c>
      <c r="M22" s="462">
        <v>0.18456307795872504</v>
      </c>
      <c r="N22" s="440">
        <f t="shared" si="1"/>
        <v>-0.18364964922010441</v>
      </c>
      <c r="O22" s="458">
        <f t="shared" si="2"/>
        <v>3.3727193658667394E-2</v>
      </c>
      <c r="P22" s="436">
        <f t="shared" si="3"/>
        <v>0.65820855854733307</v>
      </c>
      <c r="Q22" s="440">
        <f t="shared" si="4"/>
        <v>0.10656197652892396</v>
      </c>
      <c r="R22" s="440">
        <f t="shared" si="5"/>
        <v>1.2098551405657423</v>
      </c>
      <c r="S22" s="466">
        <f t="shared" si="6"/>
        <v>-189684.50301022478</v>
      </c>
      <c r="T22" s="440">
        <f t="shared" si="7"/>
        <v>35980210682.235977</v>
      </c>
      <c r="U22" s="467">
        <f t="shared" si="8"/>
        <v>1130604.2665211977</v>
      </c>
      <c r="V22" s="467">
        <f t="shared" si="9"/>
        <v>651228.73236324999</v>
      </c>
      <c r="W22" s="467">
        <f t="shared" si="10"/>
        <v>1962852.595335013</v>
      </c>
      <c r="X22" s="468">
        <f t="shared" si="11"/>
        <v>0.20159476967773637</v>
      </c>
      <c r="Y22" s="468">
        <f t="shared" si="12"/>
        <v>0.20159476967773637</v>
      </c>
      <c r="Z22" s="442">
        <f t="shared" si="13"/>
        <v>585402.09872581216</v>
      </c>
      <c r="AA22" s="471">
        <f t="shared" si="14"/>
        <v>0.65400410709091261</v>
      </c>
      <c r="AB22" s="473">
        <f t="shared" si="15"/>
        <v>0.47455890932722866</v>
      </c>
      <c r="AC22" s="801">
        <f t="shared" si="16"/>
        <v>76</v>
      </c>
      <c r="AD22" s="435">
        <f t="shared" si="17"/>
        <v>0.10235752507250351</v>
      </c>
      <c r="AE22" s="441">
        <f t="shared" si="18"/>
        <v>1.2056506891093217</v>
      </c>
      <c r="AF22" s="461"/>
      <c r="AG22" s="461"/>
      <c r="AH22" s="461"/>
      <c r="AI22" s="461"/>
    </row>
    <row r="23" spans="1:35">
      <c r="A23" s="455">
        <v>1972</v>
      </c>
      <c r="B23" s="479">
        <f t="shared" si="0"/>
        <v>1977</v>
      </c>
      <c r="C23" s="467">
        <f>VLOOKUP($A23,'Brd Tbl'!$A$8:$AX$64,2)</f>
        <v>408348.74565424217</v>
      </c>
      <c r="D23" s="436">
        <f>VLOOKUP($A23,'Brd Tbl'!$A$8:$AX$64,25)</f>
        <v>0.7286204367594411</v>
      </c>
      <c r="E23" s="461">
        <v>47</v>
      </c>
      <c r="F23" s="461">
        <v>45</v>
      </c>
      <c r="G23" s="462">
        <v>1.1920486878103276</v>
      </c>
      <c r="H23" s="462">
        <v>-9.1658351684475196E-7</v>
      </c>
      <c r="I23" s="463">
        <v>3.3544844330247548E-7</v>
      </c>
      <c r="J23" s="489">
        <v>0.81776295841941915</v>
      </c>
      <c r="K23" s="461">
        <v>0.42255422336347553</v>
      </c>
      <c r="L23" s="461">
        <v>0.14230295662429046</v>
      </c>
      <c r="M23" s="462">
        <v>0.18511160571384772</v>
      </c>
      <c r="N23" s="440">
        <f t="shared" si="1"/>
        <v>-8.9142521659978047E-2</v>
      </c>
      <c r="O23" s="458">
        <f t="shared" si="2"/>
        <v>7.9463891678996559E-3</v>
      </c>
      <c r="P23" s="436">
        <f t="shared" si="3"/>
        <v>0.81776295841941915</v>
      </c>
      <c r="Q23" s="440">
        <f t="shared" si="4"/>
        <v>0.26611637640101005</v>
      </c>
      <c r="R23" s="440">
        <f t="shared" si="5"/>
        <v>1.3694095404378284</v>
      </c>
      <c r="S23" s="466">
        <f t="shared" si="6"/>
        <v>-78895.605575159891</v>
      </c>
      <c r="T23" s="440">
        <f t="shared" si="7"/>
        <v>6224516579.0712004</v>
      </c>
      <c r="U23" s="467">
        <f t="shared" si="8"/>
        <v>925083.99285559228</v>
      </c>
      <c r="V23" s="467">
        <f t="shared" si="9"/>
        <v>532848.93205874518</v>
      </c>
      <c r="W23" s="467">
        <f t="shared" si="10"/>
        <v>1606046.9344119809</v>
      </c>
      <c r="X23" s="468">
        <f t="shared" si="11"/>
        <v>9.3236455098045873E-2</v>
      </c>
      <c r="Y23" s="468">
        <f t="shared" si="12"/>
        <v>9.3236455098045873E-2</v>
      </c>
      <c r="Z23" s="442">
        <f t="shared" si="13"/>
        <v>408348.74565424217</v>
      </c>
      <c r="AA23" s="471">
        <f t="shared" si="14"/>
        <v>0.81510942813680509</v>
      </c>
      <c r="AB23" s="473">
        <f t="shared" si="15"/>
        <v>0.7286204367594411</v>
      </c>
      <c r="AC23" s="801">
        <f t="shared" si="16"/>
        <v>77</v>
      </c>
      <c r="AD23" s="435">
        <f t="shared" si="17"/>
        <v>0.26346284611839599</v>
      </c>
      <c r="AE23" s="441">
        <f t="shared" si="18"/>
        <v>1.3667560101552141</v>
      </c>
      <c r="AF23" s="461"/>
      <c r="AG23" s="461"/>
      <c r="AH23" s="461"/>
      <c r="AI23" s="461"/>
    </row>
    <row r="24" spans="1:35">
      <c r="A24" s="455">
        <v>1973</v>
      </c>
      <c r="B24" s="479">
        <f t="shared" si="0"/>
        <v>1978</v>
      </c>
      <c r="C24" s="467">
        <f>VLOOKUP($A24,'Brd Tbl'!$A$8:$AX$64,2)</f>
        <v>432244.89386258059</v>
      </c>
      <c r="D24" s="436">
        <f>VLOOKUP($A24,'Brd Tbl'!$A$8:$AX$64,25)</f>
        <v>-0.37403208769647928</v>
      </c>
      <c r="E24" s="461">
        <v>47</v>
      </c>
      <c r="F24" s="461">
        <v>45</v>
      </c>
      <c r="G24" s="462">
        <v>1.249503843884062</v>
      </c>
      <c r="H24" s="462">
        <v>-9.8160384021119836E-7</v>
      </c>
      <c r="I24" s="463">
        <v>3.0449970367671425E-7</v>
      </c>
      <c r="J24" s="489">
        <v>0.82521059615687098</v>
      </c>
      <c r="K24" s="461">
        <v>0.38420364373845473</v>
      </c>
      <c r="L24" s="461">
        <v>0.18760818229914306</v>
      </c>
      <c r="M24" s="462">
        <v>0.15468103921155232</v>
      </c>
      <c r="N24" s="440">
        <f t="shared" si="1"/>
        <v>-1.1992426838533503</v>
      </c>
      <c r="O24" s="458">
        <f t="shared" si="2"/>
        <v>1.4381830147757868</v>
      </c>
      <c r="P24" s="436">
        <f t="shared" si="3"/>
        <v>0.82521059615687098</v>
      </c>
      <c r="Q24" s="440">
        <f t="shared" si="4"/>
        <v>0.27356401413846188</v>
      </c>
      <c r="R24" s="440">
        <f t="shared" si="5"/>
        <v>1.3768571781752801</v>
      </c>
      <c r="S24" s="466">
        <f t="shared" si="6"/>
        <v>-689174.08335016528</v>
      </c>
      <c r="T24" s="440">
        <f t="shared" si="7"/>
        <v>474960917161.54059</v>
      </c>
      <c r="U24" s="467">
        <f t="shared" si="8"/>
        <v>986539.04867374944</v>
      </c>
      <c r="V24" s="467">
        <f t="shared" si="9"/>
        <v>568247.08089194784</v>
      </c>
      <c r="W24" s="467">
        <f t="shared" si="10"/>
        <v>1712739.6290895718</v>
      </c>
      <c r="X24" s="468">
        <f t="shared" si="11"/>
        <v>2.3176034964314827</v>
      </c>
      <c r="Y24" s="468">
        <f t="shared" si="12"/>
        <v>2.3176034964314827</v>
      </c>
      <c r="Z24" s="442">
        <f t="shared" si="13"/>
        <v>432244.89386258059</v>
      </c>
      <c r="AA24" s="471">
        <f t="shared" si="14"/>
        <v>0.79336571889844687</v>
      </c>
      <c r="AB24" s="473">
        <f t="shared" si="15"/>
        <v>-0.37403208769647928</v>
      </c>
      <c r="AC24" s="801">
        <f t="shared" si="16"/>
        <v>78</v>
      </c>
      <c r="AD24" s="435">
        <f t="shared" si="17"/>
        <v>0.24171913688003777</v>
      </c>
      <c r="AE24" s="441">
        <f t="shared" si="18"/>
        <v>1.345012300916856</v>
      </c>
      <c r="AF24" s="461"/>
      <c r="AG24" s="461"/>
      <c r="AH24" s="461"/>
      <c r="AI24" s="461"/>
    </row>
    <row r="25" spans="1:35">
      <c r="A25" s="455">
        <v>1974</v>
      </c>
      <c r="B25" s="479">
        <f t="shared" si="0"/>
        <v>1979</v>
      </c>
      <c r="C25" s="467">
        <f>VLOOKUP($A25,'Brd Tbl'!$A$8:$AX$64,2)</f>
        <v>209834.48285271373</v>
      </c>
      <c r="D25" s="436">
        <f>VLOOKUP($A25,'Brd Tbl'!$A$8:$AX$64,25)</f>
        <v>0.74665099662296908</v>
      </c>
      <c r="E25" s="461">
        <v>47</v>
      </c>
      <c r="F25" s="461">
        <v>45</v>
      </c>
      <c r="G25" s="462">
        <v>1.2208638682886472</v>
      </c>
      <c r="H25" s="462">
        <v>-9.6394861432735997E-7</v>
      </c>
      <c r="I25" s="463">
        <v>3.4394968541138302E-7</v>
      </c>
      <c r="J25" s="477">
        <v>1.0185942093046756</v>
      </c>
      <c r="K25" s="461">
        <v>0.42097279692679074</v>
      </c>
      <c r="L25" s="461">
        <v>0.1486059011216104</v>
      </c>
      <c r="M25" s="462">
        <v>0.18370720737861909</v>
      </c>
      <c r="N25" s="440">
        <f t="shared" si="1"/>
        <v>-0.27194321268170651</v>
      </c>
      <c r="O25" s="458">
        <f t="shared" si="2"/>
        <v>7.3953110923647869E-2</v>
      </c>
      <c r="P25" s="436">
        <f t="shared" si="3"/>
        <v>1.0185942093046756</v>
      </c>
      <c r="Q25" s="440">
        <f t="shared" si="4"/>
        <v>0.46694762728626649</v>
      </c>
      <c r="R25" s="440">
        <f t="shared" si="5"/>
        <v>1.5702407913230847</v>
      </c>
      <c r="S25" s="466">
        <f t="shared" si="6"/>
        <v>-138360.01846068416</v>
      </c>
      <c r="T25" s="440">
        <f t="shared" si="7"/>
        <v>19143494708.440865</v>
      </c>
      <c r="U25" s="467">
        <f t="shared" si="8"/>
        <v>581094.41755864443</v>
      </c>
      <c r="V25" s="467">
        <f t="shared" si="9"/>
        <v>334710.73136356496</v>
      </c>
      <c r="W25" s="467">
        <f t="shared" si="10"/>
        <v>1008843.4294956622</v>
      </c>
      <c r="X25" s="468">
        <f t="shared" si="11"/>
        <v>0.31251246513165187</v>
      </c>
      <c r="Y25" s="468">
        <f t="shared" si="12"/>
        <v>0.31251246513165187</v>
      </c>
      <c r="Z25" s="442">
        <f t="shared" si="13"/>
        <v>209834.48285271373</v>
      </c>
      <c r="AA25" s="471">
        <f t="shared" si="14"/>
        <v>0.99574257337806449</v>
      </c>
      <c r="AB25" s="473">
        <f t="shared" si="15"/>
        <v>0.74665099662296908</v>
      </c>
      <c r="AC25" s="801">
        <f t="shared" si="16"/>
        <v>79</v>
      </c>
      <c r="AD25" s="435">
        <f t="shared" si="17"/>
        <v>0.44409599135965538</v>
      </c>
      <c r="AE25" s="441">
        <f t="shared" si="18"/>
        <v>1.5473891553964736</v>
      </c>
      <c r="AF25" s="461"/>
      <c r="AG25" s="461"/>
      <c r="AH25" s="461"/>
      <c r="AI25" s="461"/>
    </row>
    <row r="26" spans="1:35">
      <c r="A26" s="455">
        <v>1975</v>
      </c>
      <c r="B26" s="479">
        <f t="shared" si="0"/>
        <v>1980</v>
      </c>
      <c r="C26" s="467">
        <f>VLOOKUP($A26,'Brd Tbl'!$A$8:$AX$64,2)</f>
        <v>172586.43317981472</v>
      </c>
      <c r="D26" s="436">
        <f>VLOOKUP($A26,'Brd Tbl'!$A$8:$AX$64,25)</f>
        <v>0.86729503428874577</v>
      </c>
      <c r="E26" s="461">
        <v>47</v>
      </c>
      <c r="F26" s="461">
        <v>45</v>
      </c>
      <c r="G26" s="462">
        <v>1.2115594123884743</v>
      </c>
      <c r="H26" s="462">
        <v>-9.4994073527085124E-7</v>
      </c>
      <c r="I26" s="463">
        <v>3.4776487873370518E-7</v>
      </c>
      <c r="J26" s="477">
        <v>1.0476125291558676</v>
      </c>
      <c r="K26" s="461">
        <v>0.42198684138652043</v>
      </c>
      <c r="L26" s="461">
        <v>0.14222682913117543</v>
      </c>
      <c r="M26" s="462">
        <v>0.18458888210135305</v>
      </c>
      <c r="N26" s="440">
        <f t="shared" si="1"/>
        <v>-0.18031749486712179</v>
      </c>
      <c r="O26" s="458">
        <f t="shared" si="2"/>
        <v>3.251439895515449E-2</v>
      </c>
      <c r="P26" s="436">
        <f t="shared" si="3"/>
        <v>1.0476125291558676</v>
      </c>
      <c r="Q26" s="440">
        <f t="shared" si="4"/>
        <v>0.49596594713745845</v>
      </c>
      <c r="R26" s="440">
        <f t="shared" si="5"/>
        <v>1.5992591111742767</v>
      </c>
      <c r="S26" s="466">
        <f t="shared" si="6"/>
        <v>-81180.107275006128</v>
      </c>
      <c r="T26" s="440">
        <f t="shared" si="7"/>
        <v>6590209817.1815033</v>
      </c>
      <c r="U26" s="467">
        <f t="shared" si="8"/>
        <v>492015.73714589077</v>
      </c>
      <c r="V26" s="467">
        <f t="shared" si="9"/>
        <v>283401.35827559343</v>
      </c>
      <c r="W26" s="467">
        <f t="shared" si="10"/>
        <v>854193.10292720748</v>
      </c>
      <c r="X26" s="468">
        <f t="shared" si="11"/>
        <v>0.19759753383736217</v>
      </c>
      <c r="Y26" s="468">
        <f t="shared" si="12"/>
        <v>0.19759753383736217</v>
      </c>
      <c r="Z26" s="442">
        <f t="shared" si="13"/>
        <v>172586.43317981472</v>
      </c>
      <c r="AA26" s="471">
        <f t="shared" si="14"/>
        <v>1.0296355152330545</v>
      </c>
      <c r="AB26" s="473">
        <f t="shared" si="15"/>
        <v>0.86729503428874577</v>
      </c>
      <c r="AC26" s="801">
        <f t="shared" si="16"/>
        <v>80</v>
      </c>
      <c r="AD26" s="435">
        <f t="shared" si="17"/>
        <v>0.47798893321464542</v>
      </c>
      <c r="AE26" s="441">
        <f t="shared" si="18"/>
        <v>1.5812820972514636</v>
      </c>
      <c r="AF26" s="461"/>
      <c r="AG26" s="461"/>
      <c r="AH26" s="461"/>
      <c r="AI26" s="461"/>
    </row>
    <row r="27" spans="1:35">
      <c r="A27" s="455">
        <v>1976</v>
      </c>
      <c r="B27" s="479">
        <f t="shared" si="0"/>
        <v>1981</v>
      </c>
      <c r="C27" s="467">
        <f>VLOOKUP($A27,'Brd Tbl'!$A$8:$AX$64,2)</f>
        <v>248496.46908689401</v>
      </c>
      <c r="D27" s="436">
        <f>VLOOKUP($A27,'Brd Tbl'!$A$8:$AX$64,25)</f>
        <v>1.2837118655439153</v>
      </c>
      <c r="E27" s="461">
        <v>47</v>
      </c>
      <c r="F27" s="461">
        <v>45</v>
      </c>
      <c r="G27" s="462">
        <v>1.1474393023375726</v>
      </c>
      <c r="H27" s="462">
        <v>-8.4931250886588411E-7</v>
      </c>
      <c r="I27" s="463">
        <v>3.4031901868275689E-7</v>
      </c>
      <c r="J27" s="477">
        <v>0.93638814273306903</v>
      </c>
      <c r="K27" s="461">
        <v>0.41979666571539326</v>
      </c>
      <c r="L27" s="461">
        <v>0.12157758097996391</v>
      </c>
      <c r="M27" s="462">
        <v>0.18271400189982043</v>
      </c>
      <c r="N27" s="440">
        <f t="shared" si="1"/>
        <v>0.34732372281084622</v>
      </c>
      <c r="O27" s="458">
        <f t="shared" si="2"/>
        <v>0.12063376842718554</v>
      </c>
      <c r="P27" s="436">
        <f t="shared" si="3"/>
        <v>0.93638814273306903</v>
      </c>
      <c r="Q27" s="440">
        <f t="shared" si="4"/>
        <v>0.38474156071465992</v>
      </c>
      <c r="R27" s="440">
        <f t="shared" si="5"/>
        <v>1.4880347247514782</v>
      </c>
      <c r="S27" s="466">
        <f t="shared" si="6"/>
        <v>263223.10728039779</v>
      </c>
      <c r="T27" s="440">
        <f t="shared" si="7"/>
        <v>69286404206.347809</v>
      </c>
      <c r="U27" s="467">
        <f t="shared" si="8"/>
        <v>633852.81802616781</v>
      </c>
      <c r="V27" s="467">
        <f t="shared" si="9"/>
        <v>365099.60152385087</v>
      </c>
      <c r="W27" s="467">
        <f t="shared" si="10"/>
        <v>1100437.7798354509</v>
      </c>
      <c r="X27" s="468">
        <f t="shared" si="11"/>
        <v>-0.29342344371848378</v>
      </c>
      <c r="Y27" s="468">
        <f t="shared" si="12"/>
        <v>0.29342344371848378</v>
      </c>
      <c r="Z27" s="442">
        <f t="shared" si="13"/>
        <v>248496.46908689401</v>
      </c>
      <c r="AA27" s="471">
        <f t="shared" si="14"/>
        <v>0.96056305490821836</v>
      </c>
      <c r="AB27" s="473">
        <f t="shared" si="15"/>
        <v>1.2837118655439153</v>
      </c>
      <c r="AC27" s="801">
        <f t="shared" si="16"/>
        <v>81</v>
      </c>
      <c r="AD27" s="435">
        <f t="shared" si="17"/>
        <v>0.40891647288980926</v>
      </c>
      <c r="AE27" s="441">
        <f t="shared" si="18"/>
        <v>1.5122096369266274</v>
      </c>
      <c r="AF27" s="461"/>
      <c r="AG27" s="461"/>
      <c r="AH27" s="461"/>
      <c r="AI27" s="461"/>
    </row>
    <row r="28" spans="1:35">
      <c r="A28" s="455">
        <v>1977</v>
      </c>
      <c r="B28" s="479">
        <f t="shared" si="0"/>
        <v>1982</v>
      </c>
      <c r="C28" s="467">
        <f>VLOOKUP($A28,'Brd Tbl'!$A$8:$AX$64,2)</f>
        <v>357096.4249518197</v>
      </c>
      <c r="D28" s="436">
        <f>VLOOKUP($A28,'Brd Tbl'!$A$8:$AX$64,25)</f>
        <v>1.3312041835027497</v>
      </c>
      <c r="E28" s="461">
        <v>47</v>
      </c>
      <c r="F28" s="461">
        <v>45</v>
      </c>
      <c r="G28" s="462">
        <v>1.1489777758757251</v>
      </c>
      <c r="H28" s="462">
        <v>-8.577990565565641E-7</v>
      </c>
      <c r="I28" s="463">
        <v>3.3238568212609862E-7</v>
      </c>
      <c r="J28" s="477">
        <v>0.8426607994523323</v>
      </c>
      <c r="K28" s="461">
        <v>0.4166853861657267</v>
      </c>
      <c r="L28" s="461">
        <v>0.12892303697214066</v>
      </c>
      <c r="M28" s="462">
        <v>0.18020249403445343</v>
      </c>
      <c r="N28" s="440">
        <f t="shared" si="1"/>
        <v>0.48854338405041742</v>
      </c>
      <c r="O28" s="458">
        <f t="shared" si="2"/>
        <v>0.23867463809943365</v>
      </c>
      <c r="P28" s="436">
        <f t="shared" si="3"/>
        <v>0.8426607994523323</v>
      </c>
      <c r="Q28" s="440">
        <f t="shared" si="4"/>
        <v>0.29101421743392319</v>
      </c>
      <c r="R28" s="440">
        <f t="shared" si="5"/>
        <v>1.3943073814707414</v>
      </c>
      <c r="S28" s="466">
        <f t="shared" si="6"/>
        <v>522453.71985170082</v>
      </c>
      <c r="T28" s="440">
        <f t="shared" si="7"/>
        <v>272957889386.87949</v>
      </c>
      <c r="U28" s="467">
        <f t="shared" si="8"/>
        <v>829370.22080658632</v>
      </c>
      <c r="V28" s="467">
        <f t="shared" si="9"/>
        <v>477717.74222786853</v>
      </c>
      <c r="W28" s="467">
        <f t="shared" si="10"/>
        <v>1439877.3634676165</v>
      </c>
      <c r="X28" s="468">
        <f t="shared" si="11"/>
        <v>-0.38648059420909914</v>
      </c>
      <c r="Y28" s="468">
        <f t="shared" si="12"/>
        <v>0.38648059420909914</v>
      </c>
      <c r="Z28" s="442">
        <f t="shared" si="13"/>
        <v>357096.4249518197</v>
      </c>
      <c r="AA28" s="471">
        <f t="shared" si="14"/>
        <v>0.86174521016445804</v>
      </c>
      <c r="AB28" s="473">
        <f t="shared" si="15"/>
        <v>1.3312041835027497</v>
      </c>
      <c r="AC28" s="801">
        <f t="shared" si="16"/>
        <v>82</v>
      </c>
      <c r="AD28" s="435">
        <f t="shared" si="17"/>
        <v>0.31009862814604894</v>
      </c>
      <c r="AE28" s="441">
        <f t="shared" si="18"/>
        <v>1.4133917921828671</v>
      </c>
      <c r="AF28" s="461"/>
      <c r="AG28" s="461"/>
      <c r="AH28" s="461"/>
      <c r="AI28" s="461"/>
    </row>
    <row r="29" spans="1:35">
      <c r="A29" s="455">
        <v>1978</v>
      </c>
      <c r="B29" s="479">
        <f t="shared" si="0"/>
        <v>1983</v>
      </c>
      <c r="C29" s="467">
        <f>VLOOKUP($A29,'Brd Tbl'!$A$8:$AX$64,2)</f>
        <v>234393.70547443983</v>
      </c>
      <c r="D29" s="436">
        <f>VLOOKUP($A29,'Brd Tbl'!$A$8:$AX$64,25)</f>
        <v>1.248771214947052</v>
      </c>
      <c r="E29" s="461">
        <v>47</v>
      </c>
      <c r="F29" s="461">
        <v>45</v>
      </c>
      <c r="G29" s="462">
        <v>1.1516739405969585</v>
      </c>
      <c r="H29" s="462">
        <v>-8.5537081161543243E-7</v>
      </c>
      <c r="I29" s="463">
        <v>3.4189676439388173E-7</v>
      </c>
      <c r="J29" s="477">
        <v>0.95118040650773827</v>
      </c>
      <c r="K29" s="461">
        <v>0.42059755891954187</v>
      </c>
      <c r="L29" s="461">
        <v>0.12210882219341533</v>
      </c>
      <c r="M29" s="462">
        <v>0.18339641635002513</v>
      </c>
      <c r="N29" s="440">
        <f t="shared" si="1"/>
        <v>0.29759080843931374</v>
      </c>
      <c r="O29" s="458">
        <f t="shared" si="2"/>
        <v>8.8560289267564318E-2</v>
      </c>
      <c r="P29" s="436">
        <f t="shared" si="3"/>
        <v>0.95118040650773827</v>
      </c>
      <c r="Q29" s="440">
        <f t="shared" si="4"/>
        <v>0.39953382448932917</v>
      </c>
      <c r="R29" s="440">
        <f t="shared" si="5"/>
        <v>1.5028269885261474</v>
      </c>
      <c r="S29" s="466">
        <f t="shared" si="6"/>
        <v>210319.84528574161</v>
      </c>
      <c r="T29" s="440">
        <f t="shared" si="7"/>
        <v>44234437321.018288</v>
      </c>
      <c r="U29" s="467">
        <f t="shared" si="8"/>
        <v>606789.9045082432</v>
      </c>
      <c r="V29" s="467">
        <f t="shared" si="9"/>
        <v>349511.34718392807</v>
      </c>
      <c r="W29" s="467">
        <f t="shared" si="10"/>
        <v>1053453.6036661586</v>
      </c>
      <c r="X29" s="468">
        <f t="shared" si="11"/>
        <v>-0.25739485465541057</v>
      </c>
      <c r="Y29" s="468">
        <f t="shared" si="12"/>
        <v>0.25739485465541057</v>
      </c>
      <c r="Z29" s="442">
        <f t="shared" si="13"/>
        <v>234393.70547443983</v>
      </c>
      <c r="AA29" s="471">
        <f t="shared" si="14"/>
        <v>0.97339551597152474</v>
      </c>
      <c r="AB29" s="473">
        <f t="shared" si="15"/>
        <v>1.248771214947052</v>
      </c>
      <c r="AC29" s="801">
        <f t="shared" si="16"/>
        <v>83</v>
      </c>
      <c r="AD29" s="435">
        <f t="shared" si="17"/>
        <v>0.42174893395311563</v>
      </c>
      <c r="AE29" s="441">
        <f t="shared" si="18"/>
        <v>1.525042097989934</v>
      </c>
      <c r="AF29" s="461"/>
      <c r="AG29" s="461"/>
      <c r="AH29" s="461"/>
      <c r="AI29" s="461"/>
    </row>
    <row r="30" spans="1:35">
      <c r="A30" s="455">
        <v>1979</v>
      </c>
      <c r="B30" s="479">
        <f t="shared" si="0"/>
        <v>1984</v>
      </c>
      <c r="C30" s="467">
        <f>VLOOKUP($A30,'Brd Tbl'!$A$8:$AX$64,2)</f>
        <v>507703.14743589744</v>
      </c>
      <c r="D30" s="436">
        <f>VLOOKUP($A30,'Brd Tbl'!$A$8:$AX$64,25)</f>
        <v>1.0316243299192733</v>
      </c>
      <c r="E30" s="461">
        <v>47</v>
      </c>
      <c r="F30" s="461">
        <v>45</v>
      </c>
      <c r="G30" s="462">
        <v>1.1780505261766088</v>
      </c>
      <c r="H30" s="462">
        <v>-9.0595938992613646E-7</v>
      </c>
      <c r="I30" s="463">
        <v>3.3211361640561482E-7</v>
      </c>
      <c r="J30" s="477">
        <v>0.71809209246200378</v>
      </c>
      <c r="K30" s="461">
        <v>0.42022014768568372</v>
      </c>
      <c r="L30" s="461">
        <v>0.14189638060012794</v>
      </c>
      <c r="M30" s="462">
        <v>0.18318913603816558</v>
      </c>
      <c r="N30" s="440">
        <f t="shared" si="1"/>
        <v>0.31353223745726955</v>
      </c>
      <c r="O30" s="458">
        <f t="shared" si="2"/>
        <v>9.8302463924961656E-2</v>
      </c>
      <c r="P30" s="436">
        <f t="shared" si="3"/>
        <v>0.71809209246200378</v>
      </c>
      <c r="Q30" s="440">
        <f t="shared" si="4"/>
        <v>0.16644551044359468</v>
      </c>
      <c r="R30" s="440">
        <f t="shared" si="5"/>
        <v>1.2697386744804129</v>
      </c>
      <c r="S30" s="466">
        <f t="shared" si="6"/>
        <v>383367.71693505242</v>
      </c>
      <c r="T30" s="440">
        <f t="shared" si="7"/>
        <v>146970806387.99448</v>
      </c>
      <c r="U30" s="467">
        <f t="shared" si="8"/>
        <v>1041054.0763391467</v>
      </c>
      <c r="V30" s="467">
        <f t="shared" si="9"/>
        <v>599647.76936672325</v>
      </c>
      <c r="W30" s="467">
        <f t="shared" si="10"/>
        <v>1807383.6762653645</v>
      </c>
      <c r="X30" s="468">
        <f t="shared" si="11"/>
        <v>-0.2691391824705498</v>
      </c>
      <c r="Y30" s="468">
        <f t="shared" si="12"/>
        <v>0.2691391824705498</v>
      </c>
      <c r="Z30" s="442">
        <f t="shared" si="13"/>
        <v>507703.14743589744</v>
      </c>
      <c r="AA30" s="471">
        <f t="shared" si="14"/>
        <v>0.72470434673805939</v>
      </c>
      <c r="AB30" s="473">
        <f t="shared" si="15"/>
        <v>1.0316243299192733</v>
      </c>
      <c r="AC30" s="801">
        <f t="shared" si="16"/>
        <v>84</v>
      </c>
      <c r="AD30" s="435">
        <f t="shared" si="17"/>
        <v>0.17305776471965029</v>
      </c>
      <c r="AE30" s="441">
        <f t="shared" si="18"/>
        <v>1.2763509287564685</v>
      </c>
      <c r="AF30" s="461"/>
      <c r="AG30" s="461"/>
      <c r="AH30" s="461"/>
      <c r="AI30" s="461"/>
    </row>
    <row r="31" spans="1:35">
      <c r="A31" s="455">
        <v>1980</v>
      </c>
      <c r="B31" s="479">
        <f t="shared" si="0"/>
        <v>1985</v>
      </c>
      <c r="C31" s="467">
        <f>VLOOKUP($A31,'Brd Tbl'!$A$8:$AX$64,2)</f>
        <v>609245.6797237664</v>
      </c>
      <c r="D31" s="436">
        <f>VLOOKUP($A31,'Brd Tbl'!$A$8:$AX$64,25)</f>
        <v>0.53879126633140162</v>
      </c>
      <c r="E31" s="461">
        <v>47</v>
      </c>
      <c r="F31" s="461">
        <v>45</v>
      </c>
      <c r="G31" s="462">
        <v>1.1861040614699685</v>
      </c>
      <c r="H31" s="462">
        <v>-9.050568029333919E-7</v>
      </c>
      <c r="I31" s="463">
        <v>3.3459416723372599E-7</v>
      </c>
      <c r="J31" s="477">
        <v>0.63470211437819524</v>
      </c>
      <c r="K31" s="461">
        <v>0.42252110482964039</v>
      </c>
      <c r="L31" s="461">
        <v>0.13985391980125172</v>
      </c>
      <c r="M31" s="462">
        <v>0.18508495674352529</v>
      </c>
      <c r="N31" s="440">
        <f t="shared" si="1"/>
        <v>-9.5910848046793618E-2</v>
      </c>
      <c r="O31" s="458">
        <f t="shared" si="2"/>
        <v>9.198890773055135E-3</v>
      </c>
      <c r="P31" s="436">
        <f t="shared" si="3"/>
        <v>0.63470211437819524</v>
      </c>
      <c r="Q31" s="440">
        <f t="shared" si="4"/>
        <v>8.3055532359786133E-2</v>
      </c>
      <c r="R31" s="440">
        <f t="shared" si="5"/>
        <v>1.1863486963966043</v>
      </c>
      <c r="S31" s="466">
        <f t="shared" si="6"/>
        <v>-105110.83493702766</v>
      </c>
      <c r="T31" s="440">
        <f t="shared" si="7"/>
        <v>11048287621.159073</v>
      </c>
      <c r="U31" s="467">
        <f t="shared" si="8"/>
        <v>1149317.6710198426</v>
      </c>
      <c r="V31" s="467">
        <f t="shared" si="9"/>
        <v>662007.66452432435</v>
      </c>
      <c r="W31" s="467">
        <f t="shared" si="10"/>
        <v>1995341.1111450056</v>
      </c>
      <c r="X31" s="468">
        <f t="shared" si="11"/>
        <v>0.1006609335477396</v>
      </c>
      <c r="Y31" s="468">
        <f t="shared" si="12"/>
        <v>0.1006609335477396</v>
      </c>
      <c r="Z31" s="442">
        <f t="shared" si="13"/>
        <v>609245.6797237664</v>
      </c>
      <c r="AA31" s="471">
        <f t="shared" si="14"/>
        <v>0.63230823008593784</v>
      </c>
      <c r="AB31" s="473">
        <f t="shared" si="15"/>
        <v>0.53879126633140162</v>
      </c>
      <c r="AC31" s="801">
        <f t="shared" si="16"/>
        <v>85</v>
      </c>
      <c r="AD31" s="435">
        <f t="shared" si="17"/>
        <v>8.0661648067528735E-2</v>
      </c>
      <c r="AE31" s="441">
        <f t="shared" si="18"/>
        <v>1.1839548121043468</v>
      </c>
      <c r="AF31" s="461"/>
      <c r="AG31" s="461"/>
      <c r="AH31" s="461"/>
      <c r="AI31" s="461"/>
    </row>
    <row r="32" spans="1:35">
      <c r="A32" s="455">
        <v>1981</v>
      </c>
      <c r="B32" s="479">
        <f t="shared" si="0"/>
        <v>1986</v>
      </c>
      <c r="C32" s="467">
        <f>VLOOKUP($A32,'Brd Tbl'!$A$8:$AX$64,2)</f>
        <v>779344.03185492684</v>
      </c>
      <c r="D32" s="436">
        <f>VLOOKUP($A32,'Brd Tbl'!$A$8:$AX$64,25)</f>
        <v>-6.5808308941625329E-2</v>
      </c>
      <c r="E32" s="461">
        <v>47</v>
      </c>
      <c r="F32" s="461">
        <v>45</v>
      </c>
      <c r="G32" s="462">
        <v>1.1508011719754616</v>
      </c>
      <c r="H32" s="462">
        <v>-8.1915877618452951E-7</v>
      </c>
      <c r="I32" s="463">
        <v>3.3429050509525679E-7</v>
      </c>
      <c r="J32" s="477">
        <v>0.51239466861446281</v>
      </c>
      <c r="K32" s="461">
        <v>0.41441772837778296</v>
      </c>
      <c r="L32" s="461">
        <v>0.11772759599528852</v>
      </c>
      <c r="M32" s="462">
        <v>0.17816751435029821</v>
      </c>
      <c r="N32" s="440">
        <f t="shared" si="1"/>
        <v>-0.57820297755608818</v>
      </c>
      <c r="O32" s="458">
        <f t="shared" si="2"/>
        <v>0.33431868325472619</v>
      </c>
      <c r="P32" s="436">
        <f t="shared" si="3"/>
        <v>0.51239466861446281</v>
      </c>
      <c r="Q32" s="440">
        <f t="shared" si="4"/>
        <v>-3.9251913403946292E-2</v>
      </c>
      <c r="R32" s="440">
        <f t="shared" si="5"/>
        <v>1.0640412506328718</v>
      </c>
      <c r="S32" s="466">
        <f t="shared" si="6"/>
        <v>-571238.49519405654</v>
      </c>
      <c r="T32" s="440">
        <f t="shared" si="7"/>
        <v>326313418391.57013</v>
      </c>
      <c r="U32" s="467">
        <f t="shared" si="8"/>
        <v>1300946.3623824201</v>
      </c>
      <c r="V32" s="467">
        <f t="shared" si="9"/>
        <v>749345.88125490688</v>
      </c>
      <c r="W32" s="467">
        <f t="shared" si="10"/>
        <v>2258585.0941913989</v>
      </c>
      <c r="X32" s="468">
        <f t="shared" si="11"/>
        <v>0.78283176169539581</v>
      </c>
      <c r="Y32" s="468">
        <f t="shared" si="12"/>
        <v>0.78283176169539581</v>
      </c>
      <c r="Z32" s="442">
        <f t="shared" si="13"/>
        <v>779344.03185492684</v>
      </c>
      <c r="AA32" s="471">
        <f t="shared" si="14"/>
        <v>0.47753144018583082</v>
      </c>
      <c r="AB32" s="473">
        <f t="shared" si="15"/>
        <v>-6.5808308941625329E-2</v>
      </c>
      <c r="AC32" s="801">
        <f t="shared" si="16"/>
        <v>86</v>
      </c>
      <c r="AD32" s="435">
        <f t="shared" si="17"/>
        <v>-7.411514183257828E-2</v>
      </c>
      <c r="AE32" s="441">
        <f t="shared" si="18"/>
        <v>1.0291780222042399</v>
      </c>
      <c r="AF32" s="461"/>
      <c r="AG32" s="461"/>
      <c r="AH32" s="461"/>
      <c r="AI32" s="461"/>
    </row>
    <row r="33" spans="1:35">
      <c r="A33" s="455">
        <v>1982</v>
      </c>
      <c r="B33" s="479">
        <f t="shared" si="0"/>
        <v>1987</v>
      </c>
      <c r="C33" s="467">
        <f>VLOOKUP($A33,'Brd Tbl'!$A$8:$AX$64,2)</f>
        <v>609259.17976030742</v>
      </c>
      <c r="D33" s="436">
        <f>VLOOKUP($A33,'Brd Tbl'!$A$8:$AX$64,25)</f>
        <v>0.80381378273620796</v>
      </c>
      <c r="E33" s="461">
        <v>47</v>
      </c>
      <c r="F33" s="461">
        <v>45</v>
      </c>
      <c r="G33" s="462">
        <v>1.187726540534801</v>
      </c>
      <c r="H33" s="462">
        <v>-9.1885595144891167E-7</v>
      </c>
      <c r="I33" s="463">
        <v>3.3415258101011336E-7</v>
      </c>
      <c r="J33" s="477">
        <v>0.62790511723716014</v>
      </c>
      <c r="K33" s="461">
        <v>0.42196317898162167</v>
      </c>
      <c r="L33" s="461">
        <v>0.14385927508846227</v>
      </c>
      <c r="M33" s="462">
        <v>0.18462229785364012</v>
      </c>
      <c r="N33" s="440">
        <f t="shared" si="1"/>
        <v>0.17590866549904782</v>
      </c>
      <c r="O33" s="458">
        <f t="shared" si="2"/>
        <v>3.0943858597655898E-2</v>
      </c>
      <c r="P33" s="436">
        <f t="shared" si="3"/>
        <v>0.62790511723716014</v>
      </c>
      <c r="Q33" s="440">
        <f t="shared" si="4"/>
        <v>7.6258535218751033E-2</v>
      </c>
      <c r="R33" s="440">
        <f t="shared" si="5"/>
        <v>1.1795516992555692</v>
      </c>
      <c r="S33" s="466">
        <f t="shared" si="6"/>
        <v>219554.7957146517</v>
      </c>
      <c r="T33" s="440">
        <f t="shared" si="7"/>
        <v>48204308321.302437</v>
      </c>
      <c r="U33" s="467">
        <f t="shared" si="8"/>
        <v>1141557.5455748627</v>
      </c>
      <c r="V33" s="467">
        <f t="shared" si="9"/>
        <v>657537.82763606997</v>
      </c>
      <c r="W33" s="467">
        <f t="shared" si="10"/>
        <v>1981868.6850974087</v>
      </c>
      <c r="X33" s="468">
        <f t="shared" si="11"/>
        <v>-0.16130541840994994</v>
      </c>
      <c r="Y33" s="468">
        <f t="shared" si="12"/>
        <v>0.16130541840994994</v>
      </c>
      <c r="Z33" s="442">
        <f t="shared" si="13"/>
        <v>609259.17976030742</v>
      </c>
      <c r="AA33" s="471">
        <f t="shared" si="14"/>
        <v>0.63229594606147099</v>
      </c>
      <c r="AB33" s="473">
        <f t="shared" si="15"/>
        <v>0.80381378273620796</v>
      </c>
      <c r="AC33" s="801">
        <f t="shared" si="16"/>
        <v>87</v>
      </c>
      <c r="AD33" s="435">
        <f t="shared" si="17"/>
        <v>8.0649364043061889E-2</v>
      </c>
      <c r="AE33" s="441">
        <f t="shared" si="18"/>
        <v>1.1839425280798801</v>
      </c>
      <c r="AF33" s="461"/>
      <c r="AG33" s="461"/>
      <c r="AH33" s="461"/>
      <c r="AI33" s="461"/>
    </row>
    <row r="34" spans="1:35">
      <c r="A34" s="455">
        <v>1983</v>
      </c>
      <c r="B34" s="479">
        <f t="shared" si="0"/>
        <v>1988</v>
      </c>
      <c r="C34" s="467">
        <f>VLOOKUP($A34,'Brd Tbl'!$A$8:$AX$64,2)</f>
        <v>689904.86811018642</v>
      </c>
      <c r="D34" s="436">
        <f>VLOOKUP($A34,'Brd Tbl'!$A$8:$AX$64,25)</f>
        <v>-0.25078063684317692</v>
      </c>
      <c r="E34" s="461">
        <v>47</v>
      </c>
      <c r="F34" s="461">
        <v>45</v>
      </c>
      <c r="G34" s="462">
        <v>1.1592948263100042</v>
      </c>
      <c r="H34" s="462">
        <v>-8.2487692498104782E-7</v>
      </c>
      <c r="I34" s="463">
        <v>3.2232632739436157E-7</v>
      </c>
      <c r="J34" s="477">
        <v>0.59020822017381835</v>
      </c>
      <c r="K34" s="461">
        <v>0.40446421548583916</v>
      </c>
      <c r="L34" s="461">
        <v>0.12704717460188691</v>
      </c>
      <c r="M34" s="462">
        <v>0.17023254468280838</v>
      </c>
      <c r="N34" s="440">
        <f t="shared" si="1"/>
        <v>-0.84098885701699522</v>
      </c>
      <c r="O34" s="458">
        <f t="shared" si="2"/>
        <v>0.70726225762675199</v>
      </c>
      <c r="P34" s="436">
        <f t="shared" si="3"/>
        <v>0.59020822017381835</v>
      </c>
      <c r="Q34" s="440">
        <f t="shared" si="4"/>
        <v>3.856163815540925E-2</v>
      </c>
      <c r="R34" s="440">
        <f t="shared" si="5"/>
        <v>1.1418548021922275</v>
      </c>
      <c r="S34" s="466">
        <f t="shared" si="6"/>
        <v>-707960.38329157559</v>
      </c>
      <c r="T34" s="440">
        <f t="shared" si="7"/>
        <v>501207904310.35461</v>
      </c>
      <c r="U34" s="467">
        <f t="shared" si="8"/>
        <v>1244839.56352412</v>
      </c>
      <c r="V34" s="467">
        <f t="shared" si="9"/>
        <v>717028.33162290615</v>
      </c>
      <c r="W34" s="467">
        <f t="shared" si="10"/>
        <v>2161177.558224977</v>
      </c>
      <c r="X34" s="468">
        <f t="shared" si="11"/>
        <v>1.3186586654094667</v>
      </c>
      <c r="Y34" s="468">
        <f t="shared" si="12"/>
        <v>1.3186586654094667</v>
      </c>
      <c r="Z34" s="442">
        <f t="shared" si="13"/>
        <v>689904.86811018642</v>
      </c>
      <c r="AA34" s="471">
        <f t="shared" si="14"/>
        <v>0.55891439588364222</v>
      </c>
      <c r="AB34" s="473">
        <f t="shared" si="15"/>
        <v>-0.25078063684317692</v>
      </c>
      <c r="AC34" s="801">
        <f t="shared" si="16"/>
        <v>88</v>
      </c>
      <c r="AD34" s="435">
        <f t="shared" si="17"/>
        <v>7.2678138652331192E-3</v>
      </c>
      <c r="AE34" s="441">
        <f t="shared" si="18"/>
        <v>1.1105609779020513</v>
      </c>
      <c r="AF34" s="461"/>
      <c r="AG34" s="461"/>
      <c r="AH34" s="461"/>
      <c r="AI34" s="461"/>
    </row>
    <row r="35" spans="1:35">
      <c r="A35" s="455">
        <v>1984</v>
      </c>
      <c r="B35" s="479">
        <f t="shared" si="0"/>
        <v>1989</v>
      </c>
      <c r="C35" s="467">
        <f>VLOOKUP($A35,'Brd Tbl'!$A$8:$AX$64,2)</f>
        <v>837471.73615241167</v>
      </c>
      <c r="D35" s="436">
        <f>VLOOKUP($A35,'Brd Tbl'!$A$8:$AX$64,25)</f>
        <v>0.19022877947641526</v>
      </c>
      <c r="E35" s="461">
        <v>47</v>
      </c>
      <c r="F35" s="461">
        <v>45</v>
      </c>
      <c r="G35" s="462">
        <v>1.1659696683746561</v>
      </c>
      <c r="H35" s="462">
        <v>-8.6064379329345965E-7</v>
      </c>
      <c r="I35" s="463">
        <v>3.4348921403983111E-7</v>
      </c>
      <c r="J35" s="477">
        <v>0.44520481659638511</v>
      </c>
      <c r="K35" s="461">
        <v>0.42118309392417463</v>
      </c>
      <c r="L35" s="461">
        <v>0.1224305142642633</v>
      </c>
      <c r="M35" s="462">
        <v>0.1838974271960285</v>
      </c>
      <c r="N35" s="440">
        <f t="shared" si="1"/>
        <v>-0.25497603711996986</v>
      </c>
      <c r="O35" s="458">
        <f t="shared" si="2"/>
        <v>6.5012779505404253E-2</v>
      </c>
      <c r="P35" s="436">
        <f t="shared" si="3"/>
        <v>0.44520481659638511</v>
      </c>
      <c r="Q35" s="440">
        <f t="shared" si="4"/>
        <v>-0.10644176542202399</v>
      </c>
      <c r="R35" s="440">
        <f t="shared" si="5"/>
        <v>0.99685139861479422</v>
      </c>
      <c r="S35" s="466">
        <f t="shared" si="6"/>
        <v>-294190.05460110959</v>
      </c>
      <c r="T35" s="440">
        <f t="shared" si="7"/>
        <v>86547788226.203842</v>
      </c>
      <c r="U35" s="467">
        <f t="shared" si="8"/>
        <v>1307134.1289009398</v>
      </c>
      <c r="V35" s="467">
        <f t="shared" si="9"/>
        <v>752910.03846299381</v>
      </c>
      <c r="W35" s="467">
        <f t="shared" si="10"/>
        <v>2269327.7332649054</v>
      </c>
      <c r="X35" s="468">
        <f t="shared" si="11"/>
        <v>0.29043069806638672</v>
      </c>
      <c r="Y35" s="468">
        <f t="shared" si="12"/>
        <v>0.29043069806638672</v>
      </c>
      <c r="Z35" s="442">
        <f t="shared" si="13"/>
        <v>837471.73615241167</v>
      </c>
      <c r="AA35" s="471">
        <f t="shared" si="14"/>
        <v>0.42463957284728049</v>
      </c>
      <c r="AB35" s="473">
        <f t="shared" si="15"/>
        <v>0.19022877947641526</v>
      </c>
      <c r="AC35" s="801">
        <f t="shared" si="16"/>
        <v>89</v>
      </c>
      <c r="AD35" s="435">
        <f t="shared" si="17"/>
        <v>-0.12700700917112862</v>
      </c>
      <c r="AE35" s="441">
        <f t="shared" si="18"/>
        <v>0.97628615486568959</v>
      </c>
      <c r="AF35" s="461"/>
      <c r="AG35" s="461"/>
      <c r="AH35" s="461"/>
      <c r="AI35" s="461"/>
    </row>
    <row r="36" spans="1:35">
      <c r="A36" s="455">
        <v>1985</v>
      </c>
      <c r="B36" s="479">
        <f t="shared" si="0"/>
        <v>1990</v>
      </c>
      <c r="C36" s="467">
        <f>VLOOKUP($A36,'Brd Tbl'!$A$8:$AX$64,2)</f>
        <v>644071.2163551402</v>
      </c>
      <c r="D36" s="436">
        <f>VLOOKUP($A36,'Brd Tbl'!$A$8:$AX$64,25)</f>
        <v>-4.1147720816980824E-3</v>
      </c>
      <c r="E36" s="461">
        <v>47</v>
      </c>
      <c r="F36" s="461">
        <v>45</v>
      </c>
      <c r="G36" s="462">
        <v>1.1758070879885507</v>
      </c>
      <c r="H36" s="462">
        <v>-8.6475612469888142E-7</v>
      </c>
      <c r="I36" s="463">
        <v>3.2756797464235566E-7</v>
      </c>
      <c r="J36" s="477">
        <v>0.61884255890318485</v>
      </c>
      <c r="K36" s="461">
        <v>0.41273691824733721</v>
      </c>
      <c r="L36" s="461">
        <v>0.13410290642025294</v>
      </c>
      <c r="M36" s="462">
        <v>0.17702374513810498</v>
      </c>
      <c r="N36" s="440">
        <f t="shared" si="1"/>
        <v>-0.62295733098488293</v>
      </c>
      <c r="O36" s="458">
        <f t="shared" si="2"/>
        <v>0.388075836227809</v>
      </c>
      <c r="P36" s="436">
        <f t="shared" si="3"/>
        <v>0.61884255890318485</v>
      </c>
      <c r="Q36" s="440">
        <f t="shared" si="4"/>
        <v>6.7195976884775743E-2</v>
      </c>
      <c r="R36" s="440">
        <f t="shared" si="5"/>
        <v>1.1704891409215938</v>
      </c>
      <c r="S36" s="466">
        <f t="shared" si="6"/>
        <v>-554470.60813537287</v>
      </c>
      <c r="T36" s="440">
        <f t="shared" si="7"/>
        <v>307437655286.01019</v>
      </c>
      <c r="U36" s="467">
        <f t="shared" si="8"/>
        <v>1195897.0632572859</v>
      </c>
      <c r="V36" s="467">
        <f t="shared" si="9"/>
        <v>688837.42225589219</v>
      </c>
      <c r="W36" s="467">
        <f t="shared" si="10"/>
        <v>2076208.0277574051</v>
      </c>
      <c r="X36" s="468">
        <f t="shared" si="11"/>
        <v>0.86443364427491098</v>
      </c>
      <c r="Y36" s="468">
        <f t="shared" si="12"/>
        <v>0.86443364427491098</v>
      </c>
      <c r="Z36" s="442">
        <f t="shared" si="13"/>
        <v>644071.2163551402</v>
      </c>
      <c r="AA36" s="471">
        <f t="shared" si="14"/>
        <v>0.60061959407730492</v>
      </c>
      <c r="AB36" s="473">
        <f t="shared" si="15"/>
        <v>-4.1147720816980824E-3</v>
      </c>
      <c r="AC36" s="801">
        <f t="shared" si="16"/>
        <v>90</v>
      </c>
      <c r="AD36" s="435">
        <f t="shared" si="17"/>
        <v>4.8973012058895815E-2</v>
      </c>
      <c r="AE36" s="441">
        <f t="shared" si="18"/>
        <v>1.152266176095714</v>
      </c>
      <c r="AF36" s="461"/>
      <c r="AG36" s="461"/>
      <c r="AH36" s="461"/>
      <c r="AI36" s="461"/>
    </row>
    <row r="37" spans="1:35">
      <c r="A37" s="455">
        <v>1986</v>
      </c>
      <c r="B37" s="479">
        <f t="shared" si="0"/>
        <v>1991</v>
      </c>
      <c r="C37" s="467">
        <f>VLOOKUP($A37,'Brd Tbl'!$A$8:$AX$64,2)</f>
        <v>512181.00557456672</v>
      </c>
      <c r="D37" s="436">
        <f>VLOOKUP($A37,'Brd Tbl'!$A$8:$AX$64,25)</f>
        <v>0.92557438295378469</v>
      </c>
      <c r="E37" s="461">
        <v>47</v>
      </c>
      <c r="F37" s="461">
        <v>45</v>
      </c>
      <c r="G37" s="462">
        <v>1.1812261064567053</v>
      </c>
      <c r="H37" s="462">
        <v>-9.0786270692850105E-7</v>
      </c>
      <c r="I37" s="463">
        <v>3.3320898656426527E-7</v>
      </c>
      <c r="J37" s="477">
        <v>0.71623607229841757</v>
      </c>
      <c r="K37" s="461">
        <v>0.42162780653846121</v>
      </c>
      <c r="L37" s="461">
        <v>0.14160584494628392</v>
      </c>
      <c r="M37" s="462">
        <v>0.18434828360448299</v>
      </c>
      <c r="N37" s="440">
        <f t="shared" si="1"/>
        <v>0.20933831065536712</v>
      </c>
      <c r="O37" s="458">
        <f t="shared" si="2"/>
        <v>4.3822528308042993E-2</v>
      </c>
      <c r="P37" s="436">
        <f t="shared" si="3"/>
        <v>0.71623607229841757</v>
      </c>
      <c r="Q37" s="440">
        <f t="shared" si="4"/>
        <v>0.16458949028000847</v>
      </c>
      <c r="R37" s="440">
        <f t="shared" si="5"/>
        <v>1.2678826543168267</v>
      </c>
      <c r="S37" s="466">
        <f t="shared" si="6"/>
        <v>244106.58766139729</v>
      </c>
      <c r="T37" s="440">
        <f t="shared" si="7"/>
        <v>59588026139.691444</v>
      </c>
      <c r="U37" s="467">
        <f t="shared" si="8"/>
        <v>1048288.5504423416</v>
      </c>
      <c r="V37" s="467">
        <f t="shared" si="9"/>
        <v>603814.83076835296</v>
      </c>
      <c r="W37" s="467">
        <f t="shared" si="10"/>
        <v>1819943.5141236044</v>
      </c>
      <c r="X37" s="468">
        <f t="shared" si="11"/>
        <v>-0.18887922158200132</v>
      </c>
      <c r="Y37" s="468">
        <f t="shared" si="12"/>
        <v>0.18887922158200132</v>
      </c>
      <c r="Z37" s="442">
        <f t="shared" si="13"/>
        <v>512181.00557456672</v>
      </c>
      <c r="AA37" s="471">
        <f t="shared" si="14"/>
        <v>0.72062983043823725</v>
      </c>
      <c r="AB37" s="473">
        <f t="shared" si="15"/>
        <v>0.92557438295378469</v>
      </c>
      <c r="AC37" s="801">
        <f t="shared" si="16"/>
        <v>91</v>
      </c>
      <c r="AD37" s="435">
        <f t="shared" si="17"/>
        <v>0.16898324841982815</v>
      </c>
      <c r="AE37" s="441">
        <f t="shared" si="18"/>
        <v>1.2722764124566464</v>
      </c>
      <c r="AF37" s="461"/>
      <c r="AG37" s="461"/>
      <c r="AH37" s="461"/>
      <c r="AI37" s="461"/>
    </row>
    <row r="38" spans="1:35">
      <c r="A38" s="455">
        <v>1987</v>
      </c>
      <c r="B38" s="479">
        <f t="shared" si="0"/>
        <v>1992</v>
      </c>
      <c r="C38" s="467">
        <f>VLOOKUP($A38,'Brd Tbl'!$A$8:$AX$64,2)</f>
        <v>505998.99389258347</v>
      </c>
      <c r="D38" s="436">
        <f>VLOOKUP($A38,'Brd Tbl'!$A$8:$AX$64,25)</f>
        <v>0.75381577803135147</v>
      </c>
      <c r="E38" s="461">
        <v>47</v>
      </c>
      <c r="F38" s="461">
        <v>45</v>
      </c>
      <c r="G38" s="462">
        <v>1.1858858440586579</v>
      </c>
      <c r="H38" s="462">
        <v>-9.0953916785859466E-7</v>
      </c>
      <c r="I38" s="463">
        <v>3.3411004629613503E-7</v>
      </c>
      <c r="J38" s="477">
        <v>0.72565994021631142</v>
      </c>
      <c r="K38" s="461">
        <v>0.42273651041412652</v>
      </c>
      <c r="L38" s="461">
        <v>0.14139796037531402</v>
      </c>
      <c r="M38" s="462">
        <v>0.1852638107769293</v>
      </c>
      <c r="N38" s="440">
        <f t="shared" si="1"/>
        <v>2.8155837815040052E-2</v>
      </c>
      <c r="O38" s="458">
        <f t="shared" si="2"/>
        <v>7.9275120306683934E-4</v>
      </c>
      <c r="P38" s="436">
        <f t="shared" si="3"/>
        <v>0.72565994021631142</v>
      </c>
      <c r="Q38" s="440">
        <f t="shared" si="4"/>
        <v>0.17401335819790231</v>
      </c>
      <c r="R38" s="440">
        <f t="shared" si="5"/>
        <v>1.2773065222347206</v>
      </c>
      <c r="S38" s="466">
        <f t="shared" si="6"/>
        <v>29853.587224894552</v>
      </c>
      <c r="T38" s="440">
        <f t="shared" si="7"/>
        <v>891236670.1943872</v>
      </c>
      <c r="U38" s="467">
        <f t="shared" si="8"/>
        <v>1045441.5605655379</v>
      </c>
      <c r="V38" s="467">
        <f t="shared" si="9"/>
        <v>602174.96289997257</v>
      </c>
      <c r="W38" s="467">
        <f t="shared" si="10"/>
        <v>1815000.8284872135</v>
      </c>
      <c r="X38" s="468">
        <f t="shared" si="11"/>
        <v>-2.7763156270386901E-2</v>
      </c>
      <c r="Y38" s="468">
        <f t="shared" si="12"/>
        <v>2.7763156270386901E-2</v>
      </c>
      <c r="Z38" s="442">
        <f t="shared" si="13"/>
        <v>505998.99389258347</v>
      </c>
      <c r="AA38" s="471">
        <f t="shared" si="14"/>
        <v>0.72625499912020375</v>
      </c>
      <c r="AB38" s="473">
        <f t="shared" si="15"/>
        <v>0.75381577803135147</v>
      </c>
      <c r="AC38" s="801">
        <f t="shared" si="16"/>
        <v>92</v>
      </c>
      <c r="AD38" s="435">
        <f t="shared" si="17"/>
        <v>0.17460841710179464</v>
      </c>
      <c r="AE38" s="441">
        <f t="shared" si="18"/>
        <v>1.2779015811386127</v>
      </c>
      <c r="AF38" s="461"/>
      <c r="AG38" s="461"/>
      <c r="AH38" s="461"/>
      <c r="AI38" s="461"/>
    </row>
    <row r="39" spans="1:35">
      <c r="A39" s="455">
        <v>1988</v>
      </c>
      <c r="B39" s="479">
        <f t="shared" si="0"/>
        <v>1993</v>
      </c>
      <c r="C39" s="467">
        <f>VLOOKUP($A39,'Brd Tbl'!$A$8:$AX$64,2)</f>
        <v>495779.97595582763</v>
      </c>
      <c r="D39" s="436">
        <f>VLOOKUP($A39,'Brd Tbl'!$A$8:$AX$64,25)</f>
        <v>0.98678631687362295</v>
      </c>
      <c r="E39" s="461">
        <v>47</v>
      </c>
      <c r="F39" s="461">
        <v>45</v>
      </c>
      <c r="G39" s="462">
        <v>1.1786034911395746</v>
      </c>
      <c r="H39" s="462">
        <v>-9.0476602824764428E-7</v>
      </c>
      <c r="I39" s="463">
        <v>3.3284231998809533E-7</v>
      </c>
      <c r="J39" s="477">
        <v>0.73003861140930781</v>
      </c>
      <c r="K39" s="461">
        <v>0.42105818109354792</v>
      </c>
      <c r="L39" s="461">
        <v>0.14104379858012556</v>
      </c>
      <c r="M39" s="462">
        <v>0.18387813773313941</v>
      </c>
      <c r="N39" s="440">
        <f t="shared" si="1"/>
        <v>0.25674770546431513</v>
      </c>
      <c r="O39" s="458">
        <f t="shared" si="2"/>
        <v>6.5919384261190719E-2</v>
      </c>
      <c r="P39" s="436">
        <f t="shared" si="3"/>
        <v>0.73003861140930781</v>
      </c>
      <c r="Q39" s="440">
        <f t="shared" si="4"/>
        <v>0.17839202939089871</v>
      </c>
      <c r="R39" s="440">
        <f t="shared" si="5"/>
        <v>1.2816851934277169</v>
      </c>
      <c r="S39" s="466">
        <f t="shared" si="6"/>
        <v>301156.01788464037</v>
      </c>
      <c r="T39" s="440">
        <f t="shared" si="7"/>
        <v>90694947108.133835</v>
      </c>
      <c r="U39" s="467">
        <f t="shared" si="8"/>
        <v>1028823.1373234453</v>
      </c>
      <c r="V39" s="467">
        <f t="shared" si="9"/>
        <v>592602.74119314691</v>
      </c>
      <c r="W39" s="467">
        <f t="shared" si="10"/>
        <v>1786149.4291452619</v>
      </c>
      <c r="X39" s="468">
        <f t="shared" si="11"/>
        <v>-0.22643664504465272</v>
      </c>
      <c r="Y39" s="468">
        <f t="shared" si="12"/>
        <v>0.22643664504465272</v>
      </c>
      <c r="Z39" s="442">
        <f t="shared" si="13"/>
        <v>495779.97595582763</v>
      </c>
      <c r="AA39" s="471">
        <f t="shared" si="14"/>
        <v>0.73555354183014776</v>
      </c>
      <c r="AB39" s="473">
        <f t="shared" si="15"/>
        <v>0.98678631687362295</v>
      </c>
      <c r="AC39" s="801">
        <f t="shared" si="16"/>
        <v>93</v>
      </c>
      <c r="AD39" s="435">
        <f t="shared" si="17"/>
        <v>0.18390695981173866</v>
      </c>
      <c r="AE39" s="441">
        <f t="shared" si="18"/>
        <v>1.2872001238485569</v>
      </c>
      <c r="AF39" s="461"/>
      <c r="AG39" s="461"/>
      <c r="AH39" s="461"/>
      <c r="AI39" s="461"/>
    </row>
    <row r="40" spans="1:35" ht="18">
      <c r="A40" s="455">
        <v>1989</v>
      </c>
      <c r="B40" s="479">
        <f t="shared" si="0"/>
        <v>1994</v>
      </c>
      <c r="C40" s="467">
        <f>VLOOKUP($A40,'Brd Tbl'!$A$8:$AX$64,2)</f>
        <v>581067.37842492911</v>
      </c>
      <c r="D40" s="436">
        <f>VLOOKUP($A40,'Brd Tbl'!$A$8:$AX$64,25)</f>
        <v>0.82999814562517937</v>
      </c>
      <c r="E40" s="461">
        <v>47</v>
      </c>
      <c r="F40" s="461">
        <v>45</v>
      </c>
      <c r="G40" s="462">
        <v>1.186091152646267</v>
      </c>
      <c r="H40" s="462">
        <v>-9.1576305651106295E-7</v>
      </c>
      <c r="I40" s="463">
        <v>3.3374548452240991E-7</v>
      </c>
      <c r="J40" s="477">
        <v>0.65397111414098341</v>
      </c>
      <c r="K40" s="461">
        <v>0.42196017881479764</v>
      </c>
      <c r="L40" s="461">
        <v>0.14332982624708607</v>
      </c>
      <c r="M40" s="462">
        <v>0.18462141152990652</v>
      </c>
      <c r="N40" s="440">
        <f t="shared" si="1"/>
        <v>0.17602703148419596</v>
      </c>
      <c r="O40" s="458">
        <f t="shared" si="2"/>
        <v>3.0985515813138118E-2</v>
      </c>
      <c r="P40" s="436">
        <f t="shared" si="3"/>
        <v>0.65397111414098341</v>
      </c>
      <c r="Q40" s="440">
        <f t="shared" si="4"/>
        <v>0.10232453212257431</v>
      </c>
      <c r="R40" s="440">
        <f t="shared" si="5"/>
        <v>1.2056176961593925</v>
      </c>
      <c r="S40" s="466">
        <f t="shared" si="6"/>
        <v>215083.07997082663</v>
      </c>
      <c r="T40" s="440">
        <f t="shared" si="7"/>
        <v>46260731289.737</v>
      </c>
      <c r="U40" s="467">
        <f t="shared" si="8"/>
        <v>1117487.1572402571</v>
      </c>
      <c r="V40" s="467">
        <f t="shared" si="9"/>
        <v>643673.26958794915</v>
      </c>
      <c r="W40" s="467">
        <f t="shared" si="10"/>
        <v>1940079.8597653788</v>
      </c>
      <c r="X40" s="468">
        <f t="shared" si="11"/>
        <v>-0.16140468544530215</v>
      </c>
      <c r="Y40" s="468">
        <f t="shared" si="12"/>
        <v>0.16140468544530215</v>
      </c>
      <c r="Z40" s="442">
        <f t="shared" si="13"/>
        <v>581067.37842492911</v>
      </c>
      <c r="AA40" s="471">
        <f t="shared" si="14"/>
        <v>0.65794837865427369</v>
      </c>
      <c r="AB40" s="473">
        <f t="shared" si="15"/>
        <v>0.82999814562517937</v>
      </c>
      <c r="AC40" s="801">
        <f t="shared" si="16"/>
        <v>94</v>
      </c>
      <c r="AD40" s="435">
        <f t="shared" si="17"/>
        <v>0.10630179663586459</v>
      </c>
      <c r="AE40" s="441">
        <f t="shared" si="18"/>
        <v>1.2095949606726828</v>
      </c>
      <c r="AF40" s="461"/>
      <c r="AG40" s="461"/>
      <c r="AH40" s="495" t="s">
        <v>328</v>
      </c>
      <c r="AI40" s="436">
        <f>ROUND(L62,4)</f>
        <v>0.14149999999999999</v>
      </c>
    </row>
    <row r="41" spans="1:35">
      <c r="A41" s="455">
        <v>1990</v>
      </c>
      <c r="B41" s="479">
        <f t="shared" si="0"/>
        <v>1995</v>
      </c>
      <c r="C41" s="467">
        <f>VLOOKUP($A41,'Brd Tbl'!$A$8:$AX$64,2)</f>
        <v>619668.01983819774</v>
      </c>
      <c r="D41" s="436">
        <f>VLOOKUP($A41,'Brd Tbl'!$A$8:$AX$64,25)</f>
        <v>0.53713162106090884</v>
      </c>
      <c r="E41" s="461">
        <v>47</v>
      </c>
      <c r="F41" s="461">
        <v>45</v>
      </c>
      <c r="G41" s="462">
        <v>1.1858489877732099</v>
      </c>
      <c r="H41" s="462">
        <v>-9.0488629744947312E-7</v>
      </c>
      <c r="I41" s="463">
        <v>3.348172998207542E-7</v>
      </c>
      <c r="J41" s="477">
        <v>0.62511988765397652</v>
      </c>
      <c r="K41" s="461">
        <v>0.42255868990998541</v>
      </c>
      <c r="L41" s="461">
        <v>0.1396483272526621</v>
      </c>
      <c r="M41" s="462">
        <v>0.18511595580129128</v>
      </c>
      <c r="N41" s="440">
        <f t="shared" si="1"/>
        <v>-8.7988266593067688E-2</v>
      </c>
      <c r="O41" s="458">
        <f t="shared" si="2"/>
        <v>7.7419350580527511E-3</v>
      </c>
      <c r="P41" s="436">
        <f t="shared" si="3"/>
        <v>0.62511988765397652</v>
      </c>
      <c r="Q41" s="440">
        <f t="shared" ref="Q41:Q60" si="19">$P41-(SQRT($O$64)*$Q$64)</f>
        <v>7.3473305635567421E-2</v>
      </c>
      <c r="R41" s="440">
        <f t="shared" si="5"/>
        <v>1.1767664696723856</v>
      </c>
      <c r="S41" s="466">
        <f t="shared" si="6"/>
        <v>-97522.233643071959</v>
      </c>
      <c r="T41" s="440">
        <f t="shared" si="7"/>
        <v>9510586054.7339153</v>
      </c>
      <c r="U41" s="467">
        <f t="shared" si="8"/>
        <v>1157831.0743434981</v>
      </c>
      <c r="V41" s="467">
        <f t="shared" si="9"/>
        <v>666911.38992032001</v>
      </c>
      <c r="W41" s="467">
        <f t="shared" si="10"/>
        <v>2010121.3099323213</v>
      </c>
      <c r="X41" s="468">
        <f t="shared" si="11"/>
        <v>9.1975309362364699E-2</v>
      </c>
      <c r="Y41" s="468">
        <f t="shared" si="12"/>
        <v>9.1975309362364699E-2</v>
      </c>
      <c r="Z41" s="442">
        <f t="shared" si="13"/>
        <v>619668.01983819774</v>
      </c>
      <c r="AA41" s="471">
        <f t="shared" si="14"/>
        <v>0.62282467938748709</v>
      </c>
      <c r="AB41" s="473">
        <f t="shared" si="15"/>
        <v>0.53713162106090884</v>
      </c>
      <c r="AC41" s="801">
        <f t="shared" si="16"/>
        <v>95</v>
      </c>
      <c r="AD41" s="435">
        <f t="shared" si="17"/>
        <v>7.1178097369077986E-2</v>
      </c>
      <c r="AE41" s="441">
        <f t="shared" si="18"/>
        <v>1.1744712614058961</v>
      </c>
      <c r="AF41" s="461"/>
      <c r="AG41" s="461"/>
      <c r="AH41" s="495" t="s">
        <v>181</v>
      </c>
      <c r="AI41" s="465">
        <f>ROUND(H62,5)</f>
        <v>0</v>
      </c>
    </row>
    <row r="42" spans="1:35">
      <c r="A42" s="455">
        <v>1991</v>
      </c>
      <c r="B42" s="479">
        <f t="shared" si="0"/>
        <v>1996</v>
      </c>
      <c r="C42" s="467">
        <f>VLOOKUP($A42,'Brd Tbl'!$A$8:$AX$64,2)</f>
        <v>567389.92208594619</v>
      </c>
      <c r="D42" s="436">
        <f>VLOOKUP($A42,'Brd Tbl'!$A$8:$AX$64,25)</f>
        <v>1.2544332560049241</v>
      </c>
      <c r="E42" s="461">
        <v>47</v>
      </c>
      <c r="F42" s="461">
        <v>45</v>
      </c>
      <c r="G42" s="462">
        <v>1.1819993030687872</v>
      </c>
      <c r="H42" s="462">
        <v>-9.2462666960224072E-7</v>
      </c>
      <c r="I42" s="463">
        <v>3.2691431880041617E-7</v>
      </c>
      <c r="J42" s="477">
        <v>0.65737544904458389</v>
      </c>
      <c r="K42" s="461">
        <v>0.41349050185826852</v>
      </c>
      <c r="L42" s="461">
        <v>0.15093600675741478</v>
      </c>
      <c r="M42" s="462">
        <v>0.17769603899715858</v>
      </c>
      <c r="N42" s="440">
        <f t="shared" si="1"/>
        <v>0.59705780696034016</v>
      </c>
      <c r="O42" s="458">
        <f t="shared" si="2"/>
        <v>0.3564780248522908</v>
      </c>
      <c r="P42" s="436">
        <f t="shared" si="3"/>
        <v>0.65737544904458389</v>
      </c>
      <c r="Q42" s="440">
        <f t="shared" si="19"/>
        <v>0.10572886702617479</v>
      </c>
      <c r="R42" s="440">
        <f t="shared" si="5"/>
        <v>1.2090220310629931</v>
      </c>
      <c r="S42" s="466">
        <f t="shared" si="6"/>
        <v>894280.19850151194</v>
      </c>
      <c r="T42" s="440">
        <f t="shared" si="7"/>
        <v>799737073431.90356</v>
      </c>
      <c r="U42" s="467">
        <f t="shared" si="8"/>
        <v>1094904.26553458</v>
      </c>
      <c r="V42" s="467">
        <f t="shared" si="9"/>
        <v>630665.51048596366</v>
      </c>
      <c r="W42" s="467">
        <f t="shared" si="10"/>
        <v>1900873.4911824537</v>
      </c>
      <c r="X42" s="468">
        <f t="shared" si="11"/>
        <v>-0.44957127640490463</v>
      </c>
      <c r="Y42" s="468">
        <f t="shared" si="12"/>
        <v>0.44957127640490463</v>
      </c>
      <c r="Z42" s="442">
        <f t="shared" si="13"/>
        <v>567389.92208594619</v>
      </c>
      <c r="AA42" s="471">
        <f t="shared" si="14"/>
        <v>0.67039384187965689</v>
      </c>
      <c r="AB42" s="473">
        <f t="shared" si="15"/>
        <v>1.2544332560049241</v>
      </c>
      <c r="AC42" s="801">
        <f t="shared" si="16"/>
        <v>96</v>
      </c>
      <c r="AD42" s="435">
        <f t="shared" si="17"/>
        <v>0.11874725986124779</v>
      </c>
      <c r="AE42" s="441">
        <f t="shared" si="18"/>
        <v>1.222040423898066</v>
      </c>
      <c r="AF42" s="461"/>
      <c r="AG42" s="461"/>
      <c r="AH42" s="495" t="s">
        <v>182</v>
      </c>
      <c r="AI42" s="510">
        <f>X65</f>
        <v>0.10225663809121799</v>
      </c>
    </row>
    <row r="43" spans="1:35">
      <c r="A43" s="455">
        <v>1992</v>
      </c>
      <c r="B43" s="479">
        <f t="shared" si="0"/>
        <v>1997</v>
      </c>
      <c r="C43" s="467">
        <f>VLOOKUP($A43,'Brd Tbl'!$A$8:$AX$64,2)</f>
        <v>558331.04056437232</v>
      </c>
      <c r="D43" s="436">
        <f>VLOOKUP($A43,'Brd Tbl'!$A$8:$AX$64,25)</f>
        <v>1.464605892267306</v>
      </c>
      <c r="E43" s="461">
        <v>47</v>
      </c>
      <c r="F43" s="461">
        <v>45</v>
      </c>
      <c r="G43" s="462">
        <v>1.177986044188077</v>
      </c>
      <c r="H43" s="462">
        <v>-9.2515820376213002E-7</v>
      </c>
      <c r="I43" s="463">
        <v>3.2079045110582983E-7</v>
      </c>
      <c r="J43" s="477">
        <v>0.66144150159490134</v>
      </c>
      <c r="K43" s="461">
        <v>0.40582674581812317</v>
      </c>
      <c r="L43" s="461">
        <v>0.15599832605775682</v>
      </c>
      <c r="M43" s="462">
        <v>0.17155571955903343</v>
      </c>
      <c r="N43" s="440">
        <f t="shared" si="1"/>
        <v>0.80316439067240464</v>
      </c>
      <c r="O43" s="458">
        <f t="shared" si="2"/>
        <v>0.64507303844417507</v>
      </c>
      <c r="P43" s="436">
        <f t="shared" si="3"/>
        <v>0.66144150159490134</v>
      </c>
      <c r="Q43" s="440">
        <f t="shared" si="19"/>
        <v>0.10979491957649223</v>
      </c>
      <c r="R43" s="440">
        <f t="shared" si="5"/>
        <v>1.2130880836133104</v>
      </c>
      <c r="S43" s="466">
        <f t="shared" si="6"/>
        <v>1333436.735300367</v>
      </c>
      <c r="T43" s="440">
        <f t="shared" si="7"/>
        <v>1778053527048.501</v>
      </c>
      <c r="U43" s="467">
        <f t="shared" si="8"/>
        <v>1081812.9289809742</v>
      </c>
      <c r="V43" s="467">
        <f t="shared" si="9"/>
        <v>623124.8928169912</v>
      </c>
      <c r="W43" s="467">
        <f t="shared" si="10"/>
        <v>1878145.4998847421</v>
      </c>
      <c r="X43" s="468">
        <f t="shared" si="11"/>
        <v>-0.55209064098850902</v>
      </c>
      <c r="Y43" s="468">
        <f t="shared" si="12"/>
        <v>0.55209064098850902</v>
      </c>
      <c r="Z43" s="442">
        <f t="shared" si="13"/>
        <v>558331.04056437232</v>
      </c>
      <c r="AA43" s="471">
        <f t="shared" si="14"/>
        <v>0.67863674714256894</v>
      </c>
      <c r="AB43" s="473">
        <f t="shared" si="15"/>
        <v>1.464605892267306</v>
      </c>
      <c r="AC43" s="801">
        <f t="shared" si="16"/>
        <v>97</v>
      </c>
      <c r="AD43" s="435">
        <f t="shared" si="17"/>
        <v>0.12699016512415984</v>
      </c>
      <c r="AE43" s="441">
        <f t="shared" si="18"/>
        <v>1.230283329160978</v>
      </c>
      <c r="AF43" s="461"/>
      <c r="AG43" s="461"/>
      <c r="AH43" s="495"/>
      <c r="AI43" s="496"/>
    </row>
    <row r="44" spans="1:35">
      <c r="A44" s="455">
        <v>1993</v>
      </c>
      <c r="B44" s="479">
        <f t="shared" si="0"/>
        <v>1998</v>
      </c>
      <c r="C44" s="467">
        <f>VLOOKUP($A44,'Brd Tbl'!$A$8:$AX$64,2)</f>
        <v>652721.10807092034</v>
      </c>
      <c r="D44" s="436">
        <f>VLOOKUP($A44,'Brd Tbl'!$A$8:$AX$64,25)</f>
        <v>0.53358602507701336</v>
      </c>
      <c r="E44" s="461">
        <v>47</v>
      </c>
      <c r="F44" s="461">
        <v>45</v>
      </c>
      <c r="G44" s="462">
        <v>1.1854374466971254</v>
      </c>
      <c r="H44" s="462">
        <v>-9.0517068202242868E-7</v>
      </c>
      <c r="I44" s="463">
        <v>3.3567002413776808E-7</v>
      </c>
      <c r="J44" s="477">
        <v>0.59461343613413498</v>
      </c>
      <c r="K44" s="461">
        <v>0.4226620010028514</v>
      </c>
      <c r="L44" s="461">
        <v>0.13911348475287447</v>
      </c>
      <c r="M44" s="462">
        <v>0.18520143644294493</v>
      </c>
      <c r="N44" s="440">
        <f t="shared" si="1"/>
        <v>-6.1027411057121617E-2</v>
      </c>
      <c r="O44" s="458">
        <f t="shared" si="2"/>
        <v>3.7243449003348896E-3</v>
      </c>
      <c r="P44" s="436">
        <f t="shared" si="3"/>
        <v>0.59461343613413498</v>
      </c>
      <c r="Q44" s="440">
        <f t="shared" si="19"/>
        <v>4.2966854115725872E-2</v>
      </c>
      <c r="R44" s="440">
        <f t="shared" si="5"/>
        <v>1.1462600181525442</v>
      </c>
      <c r="S44" s="466">
        <f t="shared" si="6"/>
        <v>-70033.429855766706</v>
      </c>
      <c r="T44" s="440">
        <f t="shared" si="7"/>
        <v>4904681297.3625956</v>
      </c>
      <c r="U44" s="467">
        <f t="shared" si="8"/>
        <v>1182946.194710949</v>
      </c>
      <c r="V44" s="467">
        <f t="shared" si="9"/>
        <v>681377.71424295066</v>
      </c>
      <c r="W44" s="467">
        <f t="shared" si="10"/>
        <v>2053723.9042751566</v>
      </c>
      <c r="X44" s="468">
        <f t="shared" si="11"/>
        <v>6.2928049769363378E-2</v>
      </c>
      <c r="Y44" s="468">
        <f t="shared" si="12"/>
        <v>6.2928049769363378E-2</v>
      </c>
      <c r="Z44" s="442">
        <f t="shared" si="13"/>
        <v>652721.10807092034</v>
      </c>
      <c r="AA44" s="471">
        <f t="shared" si="14"/>
        <v>0.59274883897604647</v>
      </c>
      <c r="AB44" s="473">
        <f t="shared" si="15"/>
        <v>0.53358602507701336</v>
      </c>
      <c r="AC44" s="801">
        <f t="shared" si="16"/>
        <v>98</v>
      </c>
      <c r="AD44" s="435">
        <f t="shared" si="17"/>
        <v>4.1102256957637362E-2</v>
      </c>
      <c r="AE44" s="441">
        <f t="shared" si="18"/>
        <v>1.1443954209944556</v>
      </c>
      <c r="AF44" s="461"/>
      <c r="AG44" s="461"/>
      <c r="AH44" s="495"/>
      <c r="AI44" s="496"/>
    </row>
    <row r="45" spans="1:35">
      <c r="A45" s="455">
        <v>1994</v>
      </c>
      <c r="B45" s="479">
        <f t="shared" si="0"/>
        <v>1999</v>
      </c>
      <c r="C45" s="467">
        <f>VLOOKUP($A45,'Brd Tbl'!$A$8:$AX$64,2)</f>
        <v>614989.28339619539</v>
      </c>
      <c r="D45" s="436">
        <f>VLOOKUP($A45,'Brd Tbl'!$A$8:$AX$64,25)</f>
        <v>0.68223540325798682</v>
      </c>
      <c r="E45" s="461">
        <v>47</v>
      </c>
      <c r="F45" s="461">
        <v>45</v>
      </c>
      <c r="G45" s="462">
        <v>1.1871211336909546</v>
      </c>
      <c r="H45" s="462">
        <v>-9.1300133536295813E-7</v>
      </c>
      <c r="I45" s="463">
        <v>3.3481958716761333E-7</v>
      </c>
      <c r="J45" s="477">
        <v>0.62563509671631956</v>
      </c>
      <c r="K45" s="461">
        <v>0.42267485196659216</v>
      </c>
      <c r="L45" s="461">
        <v>0.1418058502512913</v>
      </c>
      <c r="M45" s="462">
        <v>0.18521251623442841</v>
      </c>
      <c r="N45" s="440">
        <f t="shared" si="1"/>
        <v>5.6600306541667256E-2</v>
      </c>
      <c r="O45" s="458">
        <f t="shared" si="2"/>
        <v>3.2035947006107011E-3</v>
      </c>
      <c r="P45" s="436">
        <f t="shared" si="3"/>
        <v>0.62563509671631956</v>
      </c>
      <c r="Q45" s="440">
        <f t="shared" si="19"/>
        <v>7.3988514697910457E-2</v>
      </c>
      <c r="R45" s="440">
        <f t="shared" si="5"/>
        <v>1.1772816787347287</v>
      </c>
      <c r="S45" s="466">
        <f t="shared" si="6"/>
        <v>66949.104337150464</v>
      </c>
      <c r="T45" s="440">
        <f t="shared" si="7"/>
        <v>4482182571.5466595</v>
      </c>
      <c r="U45" s="467">
        <f t="shared" si="8"/>
        <v>1149681.16949301</v>
      </c>
      <c r="V45" s="467">
        <f t="shared" si="9"/>
        <v>662217.03986183752</v>
      </c>
      <c r="W45" s="467">
        <f t="shared" si="10"/>
        <v>1995972.1842291823</v>
      </c>
      <c r="X45" s="468">
        <f t="shared" si="11"/>
        <v>-5.5028307101370424E-2</v>
      </c>
      <c r="Y45" s="468">
        <f t="shared" si="12"/>
        <v>5.5028307101370424E-2</v>
      </c>
      <c r="Z45" s="442">
        <f t="shared" si="13"/>
        <v>614989.28339619539</v>
      </c>
      <c r="AA45" s="471">
        <f t="shared" si="14"/>
        <v>0.62708197993278214</v>
      </c>
      <c r="AB45" s="473">
        <f t="shared" si="15"/>
        <v>0.68223540325798682</v>
      </c>
      <c r="AC45" s="801">
        <f t="shared" si="16"/>
        <v>99</v>
      </c>
      <c r="AD45" s="435">
        <f t="shared" si="17"/>
        <v>7.5435397914373037E-2</v>
      </c>
      <c r="AE45" s="441">
        <f t="shared" si="18"/>
        <v>1.1787285619511914</v>
      </c>
      <c r="AF45" s="461"/>
      <c r="AG45" s="461"/>
      <c r="AH45" s="495"/>
      <c r="AI45" s="496"/>
    </row>
    <row r="46" spans="1:35">
      <c r="A46" s="455">
        <v>1995</v>
      </c>
      <c r="B46" s="479">
        <f t="shared" si="0"/>
        <v>2000</v>
      </c>
      <c r="C46" s="467">
        <f>VLOOKUP($A46,'Brd Tbl'!$A$8:$AX$64,2)</f>
        <v>528715.42146727804</v>
      </c>
      <c r="D46" s="436">
        <f>VLOOKUP($A46,'Brd Tbl'!$A$8:$AX$64,25)</f>
        <v>0.56448672332758976</v>
      </c>
      <c r="E46" s="461">
        <v>47</v>
      </c>
      <c r="F46" s="461">
        <v>45</v>
      </c>
      <c r="G46" s="462">
        <v>1.1896424265420364</v>
      </c>
      <c r="H46" s="462">
        <v>-9.0985721488695337E-7</v>
      </c>
      <c r="I46" s="463">
        <v>3.3365229075888654E-7</v>
      </c>
      <c r="J46" s="477">
        <v>0.70858688569803707</v>
      </c>
      <c r="K46" s="461">
        <v>0.42222218543471884</v>
      </c>
      <c r="L46" s="461">
        <v>0.1418162613031545</v>
      </c>
      <c r="M46" s="462">
        <v>0.18483887236007571</v>
      </c>
      <c r="N46" s="440">
        <f t="shared" si="1"/>
        <v>-0.14410016237044732</v>
      </c>
      <c r="O46" s="458">
        <f t="shared" si="2"/>
        <v>2.0764856795189281E-2</v>
      </c>
      <c r="P46" s="436">
        <f t="shared" si="3"/>
        <v>0.70858688569803707</v>
      </c>
      <c r="Q46" s="440">
        <f t="shared" si="19"/>
        <v>0.15694030367962797</v>
      </c>
      <c r="R46" s="440">
        <f t="shared" si="5"/>
        <v>1.2602334677164462</v>
      </c>
      <c r="S46" s="466">
        <f t="shared" si="6"/>
        <v>-144114.12775081606</v>
      </c>
      <c r="T46" s="440">
        <f t="shared" si="7"/>
        <v>20768881817.378532</v>
      </c>
      <c r="U46" s="467">
        <f t="shared" si="8"/>
        <v>1073883.9520844517</v>
      </c>
      <c r="V46" s="467">
        <f t="shared" si="9"/>
        <v>618557.79739186261</v>
      </c>
      <c r="W46" s="467">
        <f t="shared" si="10"/>
        <v>1864379.9292597715</v>
      </c>
      <c r="X46" s="468">
        <f t="shared" si="11"/>
        <v>0.15499979024819652</v>
      </c>
      <c r="Y46" s="468">
        <f t="shared" si="12"/>
        <v>0.15499979024819652</v>
      </c>
      <c r="Z46" s="442">
        <f t="shared" si="13"/>
        <v>528715.42146727804</v>
      </c>
      <c r="AA46" s="471">
        <f t="shared" si="14"/>
        <v>0.70558474750425404</v>
      </c>
      <c r="AB46" s="473">
        <f t="shared" si="15"/>
        <v>0.56448672332758976</v>
      </c>
      <c r="AC46" s="976" t="s">
        <v>315</v>
      </c>
      <c r="AD46" s="435">
        <f t="shared" si="17"/>
        <v>0.15393816548584494</v>
      </c>
      <c r="AE46" s="441">
        <f t="shared" si="18"/>
        <v>1.2572313295226631</v>
      </c>
      <c r="AF46" s="461"/>
      <c r="AG46" s="461"/>
      <c r="AH46" s="495"/>
      <c r="AI46" s="496"/>
    </row>
    <row r="47" spans="1:35">
      <c r="A47" s="455">
        <v>1996</v>
      </c>
      <c r="B47" s="479">
        <f t="shared" si="0"/>
        <v>2001</v>
      </c>
      <c r="C47" s="467">
        <f>VLOOKUP($A47,'Brd Tbl'!$A$8:$AX$64,2)</f>
        <v>674836.32951188635</v>
      </c>
      <c r="D47" s="436">
        <f>VLOOKUP($A47,'Brd Tbl'!$A$8:$AX$64,25)</f>
        <v>0.90673402116589608</v>
      </c>
      <c r="E47" s="461">
        <v>47</v>
      </c>
      <c r="F47" s="461">
        <v>45</v>
      </c>
      <c r="G47" s="462">
        <v>1.1962220153643115</v>
      </c>
      <c r="H47" s="462">
        <v>-9.4165803411086109E-7</v>
      </c>
      <c r="I47" s="463">
        <v>3.3397065887380964E-7</v>
      </c>
      <c r="J47" s="477">
        <v>0.56075696396955932</v>
      </c>
      <c r="K47" s="461">
        <v>0.41970781471549645</v>
      </c>
      <c r="L47" s="461">
        <v>0.15014242952779738</v>
      </c>
      <c r="M47" s="462">
        <v>0.18273386667260658</v>
      </c>
      <c r="N47" s="440">
        <f t="shared" si="1"/>
        <v>0.34597705719633676</v>
      </c>
      <c r="O47" s="458">
        <f t="shared" si="2"/>
        <v>0.11970012410623727</v>
      </c>
      <c r="P47" s="436">
        <f t="shared" si="3"/>
        <v>0.56075696396955932</v>
      </c>
      <c r="Q47" s="440">
        <f t="shared" si="19"/>
        <v>9.1103819511502149E-3</v>
      </c>
      <c r="R47" s="440">
        <f t="shared" si="5"/>
        <v>1.1124035459879684</v>
      </c>
      <c r="S47" s="466">
        <f t="shared" si="6"/>
        <v>488732.5483680293</v>
      </c>
      <c r="T47" s="440">
        <f t="shared" si="7"/>
        <v>238859503834.30811</v>
      </c>
      <c r="U47" s="467">
        <f t="shared" si="8"/>
        <v>1182312.0332434946</v>
      </c>
      <c r="V47" s="467">
        <f t="shared" si="9"/>
        <v>681012.43685917195</v>
      </c>
      <c r="W47" s="467">
        <f t="shared" si="10"/>
        <v>2052622.9306461741</v>
      </c>
      <c r="X47" s="468">
        <f t="shared" si="11"/>
        <v>-0.29247128038720838</v>
      </c>
      <c r="Y47" s="468">
        <f t="shared" si="12"/>
        <v>0.29247128038720838</v>
      </c>
      <c r="Z47" s="442">
        <f t="shared" si="13"/>
        <v>674836.32951188635</v>
      </c>
      <c r="AA47" s="471">
        <f t="shared" si="14"/>
        <v>0.57262564001687388</v>
      </c>
      <c r="AB47" s="473">
        <f t="shared" si="15"/>
        <v>0.90673402116589608</v>
      </c>
      <c r="AC47" s="976" t="s">
        <v>316</v>
      </c>
      <c r="AD47" s="435">
        <f t="shared" si="17"/>
        <v>2.0979057998464778E-2</v>
      </c>
      <c r="AE47" s="441">
        <f t="shared" si="18"/>
        <v>1.124272222035283</v>
      </c>
      <c r="AF47" s="461"/>
      <c r="AG47" s="461"/>
      <c r="AH47" s="495"/>
      <c r="AI47" s="496"/>
    </row>
    <row r="48" spans="1:35">
      <c r="A48" s="455">
        <v>1997</v>
      </c>
      <c r="B48" s="479">
        <f t="shared" si="0"/>
        <v>2002</v>
      </c>
      <c r="C48" s="467">
        <f>VLOOKUP($A48,'Brd Tbl'!$A$8:$AX$64,2)</f>
        <v>900332.70692073856</v>
      </c>
      <c r="D48" s="436">
        <f>VLOOKUP($A48,'Brd Tbl'!$A$8:$AX$64,25)</f>
        <v>0.32884370743835395</v>
      </c>
      <c r="E48" s="461">
        <v>47</v>
      </c>
      <c r="F48" s="461">
        <v>45</v>
      </c>
      <c r="G48" s="462">
        <v>1.1822683865149695</v>
      </c>
      <c r="H48" s="462">
        <v>-8.998700125641571E-7</v>
      </c>
      <c r="I48" s="463">
        <v>3.4986780525688723E-7</v>
      </c>
      <c r="J48" s="477">
        <v>0.37208598222628286</v>
      </c>
      <c r="K48" s="461">
        <v>0.42271303759782736</v>
      </c>
      <c r="L48" s="461">
        <v>0.12816601423742352</v>
      </c>
      <c r="M48" s="462">
        <v>0.18524089283808326</v>
      </c>
      <c r="N48" s="440">
        <f t="shared" si="1"/>
        <v>-4.3242274787928914E-2</v>
      </c>
      <c r="O48" s="458">
        <f t="shared" si="2"/>
        <v>1.8698943288347526E-3</v>
      </c>
      <c r="P48" s="436">
        <f t="shared" si="3"/>
        <v>0.37208598222628286</v>
      </c>
      <c r="Q48" s="440">
        <f t="shared" si="19"/>
        <v>-0.17956059979212624</v>
      </c>
      <c r="R48" s="440">
        <f t="shared" si="5"/>
        <v>0.92373256424469197</v>
      </c>
      <c r="S48" s="466">
        <f t="shared" si="6"/>
        <v>-55277.748304177774</v>
      </c>
      <c r="T48" s="440">
        <f t="shared" si="7"/>
        <v>3055629457.580029</v>
      </c>
      <c r="U48" s="467">
        <f t="shared" si="8"/>
        <v>1306164.6209101065</v>
      </c>
      <c r="V48" s="467">
        <f t="shared" si="9"/>
        <v>752351.60128158366</v>
      </c>
      <c r="W48" s="467">
        <f t="shared" si="10"/>
        <v>2267644.5614139265</v>
      </c>
      <c r="X48" s="468">
        <f t="shared" si="11"/>
        <v>4.4190845323222219E-2</v>
      </c>
      <c r="Y48" s="468">
        <f t="shared" si="12"/>
        <v>4.4190845323222219E-2</v>
      </c>
      <c r="Z48" s="442">
        <f t="shared" si="13"/>
        <v>900332.70692073856</v>
      </c>
      <c r="AA48" s="471">
        <f t="shared" si="14"/>
        <v>0.36744078671192815</v>
      </c>
      <c r="AB48" s="473">
        <f t="shared" si="15"/>
        <v>0.32884370743835395</v>
      </c>
      <c r="AC48" s="976" t="s">
        <v>324</v>
      </c>
      <c r="AD48" s="435">
        <f t="shared" si="17"/>
        <v>-0.18420579530648096</v>
      </c>
      <c r="AE48" s="441">
        <f t="shared" si="18"/>
        <v>0.91908736873033725</v>
      </c>
      <c r="AF48" s="461"/>
      <c r="AG48" s="461"/>
      <c r="AH48" s="495"/>
      <c r="AI48" s="496"/>
    </row>
    <row r="49" spans="1:35">
      <c r="A49" s="455">
        <v>1998</v>
      </c>
      <c r="B49" s="479">
        <f t="shared" si="0"/>
        <v>2003</v>
      </c>
      <c r="C49" s="467">
        <f>VLOOKUP($A49,'Brd Tbl'!$A$8:$AX$64,2)</f>
        <v>635380.79722662957</v>
      </c>
      <c r="D49" s="436">
        <f>VLOOKUP($A49,'Brd Tbl'!$A$8:$AX$64,25)</f>
        <v>0.77559006474939862</v>
      </c>
      <c r="E49" s="461">
        <v>47</v>
      </c>
      <c r="F49" s="461">
        <v>45</v>
      </c>
      <c r="G49" s="462">
        <v>1.189182758972416</v>
      </c>
      <c r="H49" s="462">
        <v>-9.2145527351694977E-7</v>
      </c>
      <c r="I49" s="463">
        <v>3.3471174600323545E-7</v>
      </c>
      <c r="J49" s="477">
        <v>0.60370777267653442</v>
      </c>
      <c r="K49" s="461">
        <v>0.4220015252437726</v>
      </c>
      <c r="L49" s="461">
        <v>0.14414349706162305</v>
      </c>
      <c r="M49" s="462">
        <v>0.1846520922423516</v>
      </c>
      <c r="N49" s="440">
        <f t="shared" si="1"/>
        <v>0.17188229207286421</v>
      </c>
      <c r="O49" s="458">
        <f t="shared" si="2"/>
        <v>2.9543522328221397E-2</v>
      </c>
      <c r="P49" s="436">
        <f t="shared" si="3"/>
        <v>0.60370777267653442</v>
      </c>
      <c r="Q49" s="440">
        <f t="shared" si="19"/>
        <v>5.2061190658125311E-2</v>
      </c>
      <c r="R49" s="440">
        <f t="shared" si="5"/>
        <v>1.1553543546949436</v>
      </c>
      <c r="S49" s="466">
        <f t="shared" si="6"/>
        <v>217926.68760997546</v>
      </c>
      <c r="T49" s="440">
        <f t="shared" si="7"/>
        <v>47492041172.65583</v>
      </c>
      <c r="U49" s="467">
        <f t="shared" si="8"/>
        <v>1162039.8980625791</v>
      </c>
      <c r="V49" s="467">
        <f t="shared" si="9"/>
        <v>669335.67489471799</v>
      </c>
      <c r="W49" s="467">
        <f t="shared" si="10"/>
        <v>2017428.2879837358</v>
      </c>
      <c r="X49" s="468">
        <f t="shared" si="11"/>
        <v>-0.15792171337522964</v>
      </c>
      <c r="Y49" s="468">
        <f t="shared" si="12"/>
        <v>0.15792171337522964</v>
      </c>
      <c r="Z49" s="442">
        <f t="shared" si="13"/>
        <v>635380.79722662957</v>
      </c>
      <c r="AA49" s="471">
        <f t="shared" si="14"/>
        <v>0.60852722609575149</v>
      </c>
      <c r="AB49" s="473">
        <f t="shared" si="15"/>
        <v>0.77559006474939862</v>
      </c>
      <c r="AC49" s="976" t="s">
        <v>349</v>
      </c>
      <c r="AD49" s="435">
        <f t="shared" si="17"/>
        <v>5.688064407734239E-2</v>
      </c>
      <c r="AE49" s="441">
        <f t="shared" si="18"/>
        <v>1.1601738081141606</v>
      </c>
      <c r="AF49" s="461"/>
      <c r="AG49" s="461"/>
      <c r="AH49" s="495"/>
      <c r="AI49" s="496"/>
    </row>
    <row r="50" spans="1:35">
      <c r="A50" s="455">
        <v>1999</v>
      </c>
      <c r="B50" s="479">
        <f t="shared" si="0"/>
        <v>2004</v>
      </c>
      <c r="C50" s="467">
        <f>VLOOKUP($A50,'Brd Tbl'!$A$8:$AX$64,2)</f>
        <v>648887</v>
      </c>
      <c r="D50" s="436">
        <f>VLOOKUP($A50,'Brd Tbl'!$A$8:$AX$64,25)</f>
        <v>0.42868418656866869</v>
      </c>
      <c r="E50" s="461">
        <v>47</v>
      </c>
      <c r="F50" s="461">
        <v>45</v>
      </c>
      <c r="G50" s="462">
        <v>1.1833882957987536</v>
      </c>
      <c r="H50" s="462">
        <v>-8.9688164368101645E-7</v>
      </c>
      <c r="I50" s="463">
        <v>3.3503912361590207E-7</v>
      </c>
      <c r="J50" s="477">
        <v>0.60141345667550983</v>
      </c>
      <c r="K50" s="461">
        <v>0.42199556857260473</v>
      </c>
      <c r="L50" s="461">
        <v>0.13736982773240716</v>
      </c>
      <c r="M50" s="462">
        <v>0.1846458820631299</v>
      </c>
      <c r="N50" s="440">
        <f t="shared" si="1"/>
        <v>-0.17272927010684114</v>
      </c>
      <c r="O50" s="458">
        <f t="shared" si="2"/>
        <v>2.9835400751642083E-2</v>
      </c>
      <c r="P50" s="436">
        <f t="shared" si="3"/>
        <v>0.60141345667550983</v>
      </c>
      <c r="Q50" s="440">
        <f t="shared" si="19"/>
        <v>4.9766874657100724E-2</v>
      </c>
      <c r="R50" s="440">
        <f t="shared" si="5"/>
        <v>1.1530600386939189</v>
      </c>
      <c r="S50" s="466">
        <f t="shared" si="6"/>
        <v>-187826.82956291479</v>
      </c>
      <c r="T50" s="440">
        <f t="shared" si="7"/>
        <v>35278917903.656242</v>
      </c>
      <c r="U50" s="467">
        <f t="shared" si="8"/>
        <v>1184021.5830420093</v>
      </c>
      <c r="V50" s="467">
        <f t="shared" si="9"/>
        <v>681997.13856353064</v>
      </c>
      <c r="W50" s="467">
        <f t="shared" si="10"/>
        <v>2055590.895970765</v>
      </c>
      <c r="X50" s="468">
        <f t="shared" si="11"/>
        <v>0.18854428705526846</v>
      </c>
      <c r="Y50" s="468">
        <f t="shared" si="12"/>
        <v>0.18854428705526846</v>
      </c>
      <c r="Z50" s="442">
        <f t="shared" si="13"/>
        <v>648887</v>
      </c>
      <c r="AA50" s="471">
        <f t="shared" si="14"/>
        <v>0.59623759081821337</v>
      </c>
      <c r="AB50" s="473">
        <f t="shared" si="15"/>
        <v>0.42868418656866869</v>
      </c>
      <c r="AC50" s="976" t="s">
        <v>350</v>
      </c>
      <c r="AD50" s="435">
        <f t="shared" si="17"/>
        <v>4.4591008799804266E-2</v>
      </c>
      <c r="AE50" s="441">
        <f t="shared" si="18"/>
        <v>1.1478841728366225</v>
      </c>
      <c r="AF50" s="461"/>
      <c r="AG50" s="461"/>
      <c r="AH50" s="495"/>
      <c r="AI50" s="496"/>
    </row>
    <row r="51" spans="1:35">
      <c r="A51" s="455">
        <v>2000</v>
      </c>
      <c r="B51" s="479">
        <f t="shared" si="0"/>
        <v>2005</v>
      </c>
      <c r="C51" s="467">
        <f>VLOOKUP($A51,'Brd Tbl'!$A$8:$AX$64,2)</f>
        <v>537592</v>
      </c>
      <c r="D51" s="436">
        <f>VLOOKUP($A51,'Brd Tbl'!$A$8:$AX$64,25)</f>
        <v>0.98138467157840792</v>
      </c>
      <c r="E51" s="461">
        <v>47</v>
      </c>
      <c r="F51" s="461">
        <v>45</v>
      </c>
      <c r="G51" s="462">
        <v>1.1815567774621174</v>
      </c>
      <c r="H51" s="462">
        <v>-9.1166934426997869E-7</v>
      </c>
      <c r="I51" s="463">
        <v>3.3237079923328022E-7</v>
      </c>
      <c r="J51" s="477">
        <v>0.69145063133733098</v>
      </c>
      <c r="K51" s="461">
        <v>0.42058814592706933</v>
      </c>
      <c r="L51" s="461">
        <v>0.14324320339604391</v>
      </c>
      <c r="M51" s="462">
        <v>0.18349213000060069</v>
      </c>
      <c r="N51" s="440">
        <f t="shared" si="1"/>
        <v>0.28993404024107694</v>
      </c>
      <c r="O51" s="458">
        <f t="shared" si="2"/>
        <v>8.4061747690514416E-2</v>
      </c>
      <c r="P51" s="436">
        <f t="shared" si="3"/>
        <v>0.69145063133733098</v>
      </c>
      <c r="Q51" s="440">
        <f t="shared" si="19"/>
        <v>0.13980404931892187</v>
      </c>
      <c r="R51" s="440">
        <f t="shared" si="5"/>
        <v>1.2430972133557401</v>
      </c>
      <c r="S51" s="466">
        <f t="shared" si="6"/>
        <v>361013.680152199</v>
      </c>
      <c r="T51" s="440">
        <f t="shared" si="7"/>
        <v>130330877257.03424</v>
      </c>
      <c r="U51" s="467">
        <f t="shared" si="8"/>
        <v>1073361.443885864</v>
      </c>
      <c r="V51" s="467">
        <f t="shared" si="9"/>
        <v>618256.83235759591</v>
      </c>
      <c r="W51" s="467">
        <f t="shared" si="10"/>
        <v>1863472.7979105883</v>
      </c>
      <c r="X51" s="468">
        <f t="shared" si="11"/>
        <v>-0.25168707550913927</v>
      </c>
      <c r="Y51" s="468">
        <f t="shared" si="12"/>
        <v>0.25168707550913927</v>
      </c>
      <c r="Z51" s="442">
        <f t="shared" si="13"/>
        <v>537592</v>
      </c>
      <c r="AA51" s="471">
        <f t="shared" si="14"/>
        <v>0.69750772433867092</v>
      </c>
      <c r="AB51" s="473">
        <f t="shared" si="15"/>
        <v>0.98138467157840792</v>
      </c>
      <c r="AC51" s="976" t="s">
        <v>351</v>
      </c>
      <c r="AD51" s="435">
        <f t="shared" si="17"/>
        <v>0.14586114232026182</v>
      </c>
      <c r="AE51" s="441">
        <f t="shared" si="18"/>
        <v>1.24915430635708</v>
      </c>
      <c r="AF51" s="461"/>
      <c r="AG51" s="461"/>
      <c r="AH51" s="495"/>
      <c r="AI51" s="496"/>
    </row>
    <row r="52" spans="1:35">
      <c r="A52" s="455">
        <v>2001</v>
      </c>
      <c r="B52" s="479">
        <f t="shared" si="0"/>
        <v>2006</v>
      </c>
      <c r="C52" s="467">
        <f>VLOOKUP($A52,'Brd Tbl'!$A$8:$AX$64,2)</f>
        <v>680513</v>
      </c>
      <c r="D52" s="436">
        <f>VLOOKUP($A52,'Brd Tbl'!$A$8:$AX$64,25)</f>
        <v>0.77179769887272742</v>
      </c>
      <c r="E52" s="461">
        <v>47</v>
      </c>
      <c r="F52" s="461">
        <v>45</v>
      </c>
      <c r="G52" s="462">
        <v>1.1929172264299754</v>
      </c>
      <c r="H52" s="462">
        <v>-9.3010497925561745E-7</v>
      </c>
      <c r="I52" s="463">
        <v>3.3567496020720303E-7</v>
      </c>
      <c r="J52" s="477">
        <v>0.5599686966817975</v>
      </c>
      <c r="K52" s="461">
        <v>0.42161774377375877</v>
      </c>
      <c r="L52" s="461">
        <v>0.14574712074608195</v>
      </c>
      <c r="M52" s="462">
        <v>0.1843259645010541</v>
      </c>
      <c r="N52" s="440">
        <f t="shared" si="1"/>
        <v>0.21182900219092993</v>
      </c>
      <c r="O52" s="458">
        <f t="shared" si="2"/>
        <v>4.4871526169204999E-2</v>
      </c>
      <c r="P52" s="436">
        <f t="shared" si="3"/>
        <v>0.5599686966817975</v>
      </c>
      <c r="Q52" s="440">
        <f t="shared" si="19"/>
        <v>8.3221146633883913E-3</v>
      </c>
      <c r="R52" s="440">
        <f t="shared" si="5"/>
        <v>1.1116152787002065</v>
      </c>
      <c r="S52" s="466">
        <f t="shared" si="6"/>
        <v>281075.45273783128</v>
      </c>
      <c r="T52" s="440">
        <f t="shared" si="7"/>
        <v>79003410131.776825</v>
      </c>
      <c r="U52" s="467">
        <f t="shared" si="8"/>
        <v>1191318.1024006696</v>
      </c>
      <c r="V52" s="467">
        <f t="shared" si="9"/>
        <v>686199.93806934264</v>
      </c>
      <c r="W52" s="467">
        <f t="shared" si="10"/>
        <v>2068258.4511747856</v>
      </c>
      <c r="X52" s="468">
        <f t="shared" si="11"/>
        <v>-0.19089695941476181</v>
      </c>
      <c r="Y52" s="468">
        <f t="shared" si="12"/>
        <v>0.19089695941476181</v>
      </c>
      <c r="Z52" s="442">
        <f t="shared" si="13"/>
        <v>680513</v>
      </c>
      <c r="AA52" s="471">
        <f t="shared" si="14"/>
        <v>0.56746029405988652</v>
      </c>
      <c r="AB52" s="473">
        <f t="shared" si="15"/>
        <v>0.77179769887272742</v>
      </c>
      <c r="AC52" s="976" t="s">
        <v>361</v>
      </c>
      <c r="AD52" s="435">
        <f t="shared" si="17"/>
        <v>1.5813712041477412E-2</v>
      </c>
      <c r="AE52" s="441">
        <f t="shared" si="18"/>
        <v>1.1191068760782956</v>
      </c>
      <c r="AF52" s="461"/>
      <c r="AG52" s="461"/>
      <c r="AH52" s="495"/>
      <c r="AI52" s="496"/>
    </row>
    <row r="53" spans="1:35">
      <c r="A53" s="455">
        <v>2002</v>
      </c>
      <c r="B53" s="479">
        <f t="shared" si="0"/>
        <v>2007</v>
      </c>
      <c r="C53" s="467">
        <f>VLOOKUP($A53,'Brd Tbl'!$A$8:$AX$64,2)</f>
        <v>732389</v>
      </c>
      <c r="D53" s="436">
        <f>VLOOKUP($A53,'Brd Tbl'!$A$8:$AX$64,25)</f>
        <v>1.136376814144155</v>
      </c>
      <c r="E53" s="461">
        <v>47</v>
      </c>
      <c r="F53" s="461">
        <v>45</v>
      </c>
      <c r="G53" s="462">
        <v>1.2167787672616743</v>
      </c>
      <c r="H53" s="462">
        <v>-9.9245133085123177E-7</v>
      </c>
      <c r="I53" s="463">
        <v>3.3012652235894603E-7</v>
      </c>
      <c r="J53" s="477">
        <v>0.48991832951087155</v>
      </c>
      <c r="K53" s="461">
        <v>0.41215577416147631</v>
      </c>
      <c r="L53" s="461">
        <v>0.16724794887457878</v>
      </c>
      <c r="M53" s="462">
        <v>0.17638900607158262</v>
      </c>
      <c r="N53" s="440">
        <f t="shared" si="1"/>
        <v>0.64645848463328348</v>
      </c>
      <c r="O53" s="458">
        <f t="shared" si="2"/>
        <v>0.41790857235436124</v>
      </c>
      <c r="P53" s="436">
        <f t="shared" si="3"/>
        <v>0.48991832951087155</v>
      </c>
      <c r="Q53" s="440">
        <f t="shared" si="19"/>
        <v>-6.1728252507537551E-2</v>
      </c>
      <c r="R53" s="440">
        <f t="shared" si="5"/>
        <v>1.0415649115292807</v>
      </c>
      <c r="S53" s="466">
        <f t="shared" si="6"/>
        <v>1086335.8228075635</v>
      </c>
      <c r="T53" s="440">
        <f t="shared" si="7"/>
        <v>1180125519914.9858</v>
      </c>
      <c r="U53" s="467">
        <f t="shared" si="8"/>
        <v>1195392.811714482</v>
      </c>
      <c r="V53" s="467">
        <f t="shared" si="9"/>
        <v>688546.97306625417</v>
      </c>
      <c r="W53" s="467">
        <f t="shared" si="10"/>
        <v>2075332.5919583349</v>
      </c>
      <c r="X53" s="468">
        <f t="shared" si="11"/>
        <v>-0.47610211239476274</v>
      </c>
      <c r="Y53" s="468">
        <f t="shared" si="12"/>
        <v>0.47610211239476274</v>
      </c>
      <c r="Z53" s="442">
        <f t="shared" si="13"/>
        <v>732389</v>
      </c>
      <c r="AA53" s="471">
        <f t="shared" si="14"/>
        <v>0.5202570104756532</v>
      </c>
      <c r="AB53" s="473">
        <f t="shared" si="15"/>
        <v>1.136376814144155</v>
      </c>
      <c r="AC53" s="976" t="s">
        <v>362</v>
      </c>
      <c r="AD53" s="435">
        <f t="shared" si="17"/>
        <v>-3.1389571542755901E-2</v>
      </c>
      <c r="AE53" s="441">
        <f t="shared" si="18"/>
        <v>1.0719035924940623</v>
      </c>
      <c r="AF53" s="461"/>
      <c r="AG53" s="461"/>
      <c r="AH53" s="495"/>
      <c r="AI53" s="496"/>
    </row>
    <row r="54" spans="1:35">
      <c r="A54" s="455">
        <v>2003</v>
      </c>
      <c r="B54" s="479">
        <f t="shared" si="0"/>
        <v>2008</v>
      </c>
      <c r="C54" s="467">
        <f>VLOOKUP($A54,'Brd Tbl'!$A$8:$AX$64,2)</f>
        <v>653564</v>
      </c>
      <c r="D54" s="436">
        <f>VLOOKUP($A54,'Brd Tbl'!$A$8:$AX$64,25)</f>
        <v>0.19735620928867606</v>
      </c>
      <c r="E54" s="461">
        <v>47</v>
      </c>
      <c r="F54" s="461">
        <v>45</v>
      </c>
      <c r="G54" s="462">
        <v>1.1782988399715264</v>
      </c>
      <c r="H54" s="462">
        <v>-8.7799275905844124E-7</v>
      </c>
      <c r="I54" s="463">
        <v>3.3239762139422346E-7</v>
      </c>
      <c r="J54" s="477">
        <v>0.60447438039025536</v>
      </c>
      <c r="K54" s="461">
        <v>0.4185130767931281</v>
      </c>
      <c r="L54" s="461">
        <v>0.13423173470235153</v>
      </c>
      <c r="M54" s="462">
        <v>0.18175418409526917</v>
      </c>
      <c r="N54" s="440">
        <f t="shared" si="1"/>
        <v>-0.40711817110157933</v>
      </c>
      <c r="O54" s="458">
        <f t="shared" si="2"/>
        <v>0.16574520524109482</v>
      </c>
      <c r="P54" s="436">
        <f t="shared" si="3"/>
        <v>0.60447438039025536</v>
      </c>
      <c r="Q54" s="440">
        <f t="shared" si="19"/>
        <v>5.2827798371846257E-2</v>
      </c>
      <c r="R54" s="440">
        <f t="shared" si="5"/>
        <v>1.1561209624086644</v>
      </c>
      <c r="S54" s="466">
        <f t="shared" si="6"/>
        <v>-400054.3867913899</v>
      </c>
      <c r="T54" s="440">
        <f t="shared" si="7"/>
        <v>160043512391.035</v>
      </c>
      <c r="U54" s="467">
        <f t="shared" si="8"/>
        <v>1196211.6011020602</v>
      </c>
      <c r="V54" s="467">
        <f t="shared" si="9"/>
        <v>689018.59624222701</v>
      </c>
      <c r="W54" s="467">
        <f t="shared" si="10"/>
        <v>2076754.0998387053</v>
      </c>
      <c r="X54" s="468">
        <f t="shared" si="11"/>
        <v>0.50248164508283133</v>
      </c>
      <c r="Y54" s="468">
        <f t="shared" si="12"/>
        <v>0.50248164508283133</v>
      </c>
      <c r="Z54" s="442">
        <f t="shared" si="13"/>
        <v>653564</v>
      </c>
      <c r="AA54" s="471">
        <f t="shared" si="14"/>
        <v>0.59198187030538552</v>
      </c>
      <c r="AB54" s="473">
        <f t="shared" si="15"/>
        <v>0.19735620928867606</v>
      </c>
      <c r="AC54" s="976" t="s">
        <v>363</v>
      </c>
      <c r="AD54" s="435">
        <f t="shared" si="17"/>
        <v>4.0335288286976412E-2</v>
      </c>
      <c r="AE54" s="441">
        <f t="shared" si="18"/>
        <v>1.1436284523237945</v>
      </c>
      <c r="AF54" s="461"/>
      <c r="AG54" s="461"/>
      <c r="AH54" s="495"/>
      <c r="AI54" s="496"/>
    </row>
    <row r="55" spans="1:35">
      <c r="A55" s="455">
        <v>2004</v>
      </c>
      <c r="B55" s="479">
        <f t="shared" si="0"/>
        <v>2009</v>
      </c>
      <c r="C55" s="467">
        <f>VLOOKUP($A55,'Brd Tbl'!$A$8:$AX$64,2)</f>
        <v>586352</v>
      </c>
      <c r="D55" s="436">
        <f>VLOOKUP($A55,'Brd Tbl'!$A$8:$AX$64,25)</f>
        <v>0.47244629744487654</v>
      </c>
      <c r="E55" s="461">
        <v>47</v>
      </c>
      <c r="F55" s="461">
        <v>45</v>
      </c>
      <c r="G55" s="462">
        <v>1.1869688017310438</v>
      </c>
      <c r="H55" s="462">
        <v>-9.0318158678001062E-7</v>
      </c>
      <c r="I55" s="463">
        <v>3.3374307323209264E-7</v>
      </c>
      <c r="J55" s="477">
        <v>0.65738647195941102</v>
      </c>
      <c r="K55" s="461">
        <v>0.42187769661437419</v>
      </c>
      <c r="L55" s="461">
        <v>0.13996771407086875</v>
      </c>
      <c r="M55" s="462">
        <v>0.18455295722487824</v>
      </c>
      <c r="N55" s="440">
        <f t="shared" si="1"/>
        <v>-0.18494017451453448</v>
      </c>
      <c r="O55" s="458">
        <f t="shared" si="2"/>
        <v>3.4202868149466471E-2</v>
      </c>
      <c r="P55" s="436">
        <f t="shared" si="3"/>
        <v>0.65738647195941102</v>
      </c>
      <c r="Q55" s="440">
        <f t="shared" si="19"/>
        <v>0.10573988994100192</v>
      </c>
      <c r="R55" s="440">
        <f t="shared" si="5"/>
        <v>1.2090330539778202</v>
      </c>
      <c r="S55" s="466">
        <f t="shared" si="6"/>
        <v>-191050.63600092533</v>
      </c>
      <c r="T55" s="440">
        <f t="shared" si="7"/>
        <v>36500345516.358063</v>
      </c>
      <c r="U55" s="467">
        <f t="shared" si="8"/>
        <v>1131508.258530814</v>
      </c>
      <c r="V55" s="467">
        <f t="shared" si="9"/>
        <v>651749.43230037321</v>
      </c>
      <c r="W55" s="467">
        <f t="shared" si="10"/>
        <v>1964422.0242809139</v>
      </c>
      <c r="X55" s="468">
        <f t="shared" si="11"/>
        <v>0.20314645915356336</v>
      </c>
      <c r="Y55" s="468">
        <f t="shared" si="12"/>
        <v>0.20314645915356336</v>
      </c>
      <c r="Z55" s="442">
        <f t="shared" si="13"/>
        <v>586352</v>
      </c>
      <c r="AA55" s="471">
        <f t="shared" si="14"/>
        <v>0.65313976791243877</v>
      </c>
      <c r="AB55" s="473">
        <f t="shared" si="15"/>
        <v>0.47244629744487654</v>
      </c>
      <c r="AC55" s="976" t="s">
        <v>476</v>
      </c>
      <c r="AD55" s="435">
        <f t="shared" si="17"/>
        <v>0.10149318589402967</v>
      </c>
      <c r="AE55" s="441">
        <f t="shared" si="18"/>
        <v>1.2047863499308478</v>
      </c>
      <c r="AF55" s="461"/>
      <c r="AG55" s="461"/>
      <c r="AH55" s="495"/>
      <c r="AI55" s="496"/>
    </row>
    <row r="56" spans="1:35">
      <c r="A56" s="455">
        <v>2005</v>
      </c>
      <c r="B56" s="479">
        <f t="shared" si="0"/>
        <v>2010</v>
      </c>
      <c r="C56" s="467">
        <f>VLOOKUP($A56,'Brd Tbl'!$A$8:$AX$64,2)</f>
        <v>631646.30056050722</v>
      </c>
      <c r="D56" s="436">
        <f>VLOOKUP($A56,'Brd Tbl'!$A$8:$AX$64,25)</f>
        <v>0.14539221045206133</v>
      </c>
      <c r="E56" s="461">
        <v>47</v>
      </c>
      <c r="F56" s="461">
        <v>45</v>
      </c>
      <c r="G56" s="462">
        <v>1.1802709819107187</v>
      </c>
      <c r="H56" s="462">
        <v>-8.7886215415016444E-7</v>
      </c>
      <c r="I56" s="463">
        <v>3.3052852406075198E-7</v>
      </c>
      <c r="J56" s="477">
        <v>0.62514095353912902</v>
      </c>
      <c r="K56" s="461">
        <v>0.41683288392513101</v>
      </c>
      <c r="L56" s="461">
        <v>0.13577990061217457</v>
      </c>
      <c r="M56" s="462">
        <v>0.18038368087713028</v>
      </c>
      <c r="N56" s="440">
        <f t="shared" si="1"/>
        <v>-0.47974874308706772</v>
      </c>
      <c r="O56" s="458">
        <f t="shared" si="2"/>
        <v>0.23015885649362131</v>
      </c>
      <c r="P56" s="436">
        <f t="shared" si="3"/>
        <v>0.62514095353912902</v>
      </c>
      <c r="Q56" s="440">
        <f t="shared" si="19"/>
        <v>7.3494371520719914E-2</v>
      </c>
      <c r="R56" s="440">
        <f t="shared" si="5"/>
        <v>1.1767875355575381</v>
      </c>
      <c r="S56" s="466">
        <f t="shared" si="6"/>
        <v>-449742.42511838488</v>
      </c>
      <c r="T56" s="440">
        <f t="shared" si="7"/>
        <v>202268248951.36603</v>
      </c>
      <c r="U56" s="467">
        <f t="shared" si="8"/>
        <v>1180236.9944066943</v>
      </c>
      <c r="V56" s="467">
        <f t="shared" si="9"/>
        <v>679817.21325060388</v>
      </c>
      <c r="W56" s="467">
        <f t="shared" si="10"/>
        <v>2049020.436398769</v>
      </c>
      <c r="X56" s="468">
        <f t="shared" si="11"/>
        <v>0.61566840333467543</v>
      </c>
      <c r="Y56" s="468">
        <f t="shared" si="12"/>
        <v>0.61566840333467543</v>
      </c>
      <c r="Z56" s="442">
        <f t="shared" si="13"/>
        <v>631646.30056050722</v>
      </c>
      <c r="AA56" s="471">
        <f t="shared" si="14"/>
        <v>0.61192533900297919</v>
      </c>
      <c r="AB56" s="473">
        <f t="shared" si="15"/>
        <v>0.14539221045206133</v>
      </c>
      <c r="AC56" s="976" t="s">
        <v>477</v>
      </c>
      <c r="AD56" s="435">
        <f t="shared" si="17"/>
        <v>6.0278756984570081E-2</v>
      </c>
      <c r="AE56" s="441">
        <f t="shared" si="18"/>
        <v>1.1635719210213882</v>
      </c>
      <c r="AF56" s="461"/>
      <c r="AG56" s="461"/>
      <c r="AH56" s="495"/>
      <c r="AI56" s="496"/>
    </row>
    <row r="57" spans="1:35">
      <c r="A57" s="455">
        <v>2006</v>
      </c>
      <c r="B57" s="479">
        <f t="shared" si="0"/>
        <v>2011</v>
      </c>
      <c r="C57" s="467">
        <f>VLOOKUP($A57,'Brd Tbl'!$A$8:$AX$64,2)</f>
        <v>777081</v>
      </c>
      <c r="D57" s="436">
        <f>VLOOKUP($A57,'Brd Tbl'!$A$8:$AX$64,25)</f>
        <v>0.85784737750994378</v>
      </c>
      <c r="E57" s="461">
        <v>47</v>
      </c>
      <c r="F57" s="461">
        <v>45</v>
      </c>
      <c r="G57" s="462">
        <v>1.2113325522120995</v>
      </c>
      <c r="H57" s="462">
        <v>-9.7249823412280279E-7</v>
      </c>
      <c r="I57" s="463">
        <v>3.3764928131090889E-7</v>
      </c>
      <c r="J57" s="477">
        <v>0.45562265194171769</v>
      </c>
      <c r="K57" s="461">
        <v>0.41873908227379808</v>
      </c>
      <c r="L57" s="461">
        <v>0.15565207363707165</v>
      </c>
      <c r="M57" s="462">
        <v>0.18183844952894276</v>
      </c>
      <c r="N57" s="440">
        <f t="shared" si="1"/>
        <v>0.40222472556822608</v>
      </c>
      <c r="O57" s="458">
        <f t="shared" si="2"/>
        <v>0.16178472985843478</v>
      </c>
      <c r="P57" s="436">
        <f t="shared" si="3"/>
        <v>0.45562265194171769</v>
      </c>
      <c r="Q57" s="440">
        <f t="shared" si="19"/>
        <v>-9.6023930076691411E-2</v>
      </c>
      <c r="R57" s="440">
        <f t="shared" si="5"/>
        <v>1.0072692339601268</v>
      </c>
      <c r="S57" s="466">
        <f t="shared" si="6"/>
        <v>606841.26194684021</v>
      </c>
      <c r="T57" s="440">
        <f t="shared" si="7"/>
        <v>368256317201.23352</v>
      </c>
      <c r="U57" s="467">
        <f t="shared" si="8"/>
        <v>1225577.2591955436</v>
      </c>
      <c r="V57" s="467">
        <f t="shared" si="9"/>
        <v>705933.2328321581</v>
      </c>
      <c r="W57" s="467">
        <f t="shared" si="10"/>
        <v>2127736.0923088654</v>
      </c>
      <c r="X57" s="468">
        <f t="shared" si="11"/>
        <v>-0.33116957449683354</v>
      </c>
      <c r="Y57" s="468">
        <f t="shared" si="12"/>
        <v>0.33116957449683354</v>
      </c>
      <c r="Z57" s="442">
        <f t="shared" si="13"/>
        <v>777081</v>
      </c>
      <c r="AA57" s="471">
        <f t="shared" si="14"/>
        <v>0.47959063006955871</v>
      </c>
      <c r="AB57" s="473">
        <f t="shared" si="15"/>
        <v>0.85784737750994378</v>
      </c>
      <c r="AC57" s="976" t="s">
        <v>477</v>
      </c>
      <c r="AD57" s="435">
        <f t="shared" si="17"/>
        <v>-7.2055951948850394E-2</v>
      </c>
      <c r="AE57" s="441">
        <f t="shared" si="18"/>
        <v>1.0312372120879678</v>
      </c>
      <c r="AF57" s="461"/>
      <c r="AG57" s="461"/>
      <c r="AH57" s="495"/>
      <c r="AI57" s="496"/>
    </row>
    <row r="58" spans="1:35">
      <c r="A58" s="455">
        <v>2007</v>
      </c>
      <c r="B58" s="479">
        <f t="shared" si="0"/>
        <v>2012</v>
      </c>
      <c r="C58" s="467">
        <f>VLOOKUP($A58,'Brd Tbl'!$A$8:$AX$64,2)</f>
        <v>786913</v>
      </c>
      <c r="D58" s="436">
        <f>VLOOKUP($A58,'Brd Tbl'!$A$8:$AX$64,25)</f>
        <v>0.97166025872045636</v>
      </c>
      <c r="E58" s="461">
        <v>47</v>
      </c>
      <c r="F58" s="461">
        <v>45</v>
      </c>
      <c r="G58" s="462">
        <v>1.221175886103286</v>
      </c>
      <c r="H58" s="462">
        <v>-9.9636336376067188E-7</v>
      </c>
      <c r="I58" s="463">
        <v>3.3572259345207522E-7</v>
      </c>
      <c r="J58" s="477">
        <v>0.43712460243628437</v>
      </c>
      <c r="K58" s="461">
        <v>0.41565857112301374</v>
      </c>
      <c r="L58" s="461">
        <v>0.1636922030141045</v>
      </c>
      <c r="M58" s="462">
        <v>0.17920135084850203</v>
      </c>
      <c r="N58" s="440">
        <f t="shared" si="1"/>
        <v>0.53453565628417199</v>
      </c>
      <c r="O58" s="458">
        <f t="shared" si="2"/>
        <v>0.28572836783915045</v>
      </c>
      <c r="P58" s="436">
        <f t="shared" si="3"/>
        <v>0.43712460243628437</v>
      </c>
      <c r="Q58" s="440">
        <f t="shared" si="19"/>
        <v>-0.11452197958212473</v>
      </c>
      <c r="R58" s="440">
        <f t="shared" si="5"/>
        <v>0.98877118445469347</v>
      </c>
      <c r="S58" s="466">
        <f t="shared" si="6"/>
        <v>860944.82029399672</v>
      </c>
      <c r="T58" s="440">
        <f t="shared" si="7"/>
        <v>741225983591.06226</v>
      </c>
      <c r="U58" s="467">
        <f t="shared" si="8"/>
        <v>1218337.2500967963</v>
      </c>
      <c r="V58" s="467">
        <f t="shared" si="9"/>
        <v>701762.98326978646</v>
      </c>
      <c r="W58" s="467">
        <f t="shared" si="10"/>
        <v>2115166.6450933055</v>
      </c>
      <c r="X58" s="468">
        <f t="shared" si="11"/>
        <v>-0.41405869485143276</v>
      </c>
      <c r="Y58" s="468">
        <f t="shared" si="12"/>
        <v>0.41405869485143276</v>
      </c>
      <c r="Z58" s="442">
        <f t="shared" si="13"/>
        <v>786913</v>
      </c>
      <c r="AA58" s="471">
        <f t="shared" si="14"/>
        <v>0.47064424476228395</v>
      </c>
      <c r="AB58" s="473">
        <f t="shared" si="15"/>
        <v>0.97166025872045636</v>
      </c>
      <c r="AC58" s="976" t="s">
        <v>477</v>
      </c>
      <c r="AD58" s="435">
        <f t="shared" si="17"/>
        <v>-8.1002337256125156E-2</v>
      </c>
      <c r="AE58" s="441">
        <f t="shared" si="18"/>
        <v>1.0222908267806932</v>
      </c>
      <c r="AF58" s="461"/>
      <c r="AG58" s="461"/>
      <c r="AH58" s="495"/>
      <c r="AI58" s="496"/>
    </row>
    <row r="59" spans="1:35">
      <c r="A59" s="455">
        <v>2008</v>
      </c>
      <c r="B59" s="479">
        <f t="shared" si="0"/>
        <v>2013</v>
      </c>
      <c r="C59" s="467">
        <f>VLOOKUP($A59,'Brd Tbl'!$A$8:$AX$64,2)</f>
        <v>615240</v>
      </c>
      <c r="D59" s="436">
        <f>VLOOKUP($A59,'Brd Tbl'!$A$8:$AX$64,25)</f>
        <v>0.87646037720472891</v>
      </c>
      <c r="E59" s="461">
        <v>47</v>
      </c>
      <c r="F59" s="461">
        <v>45</v>
      </c>
      <c r="G59" s="462">
        <v>1.1887107989494368</v>
      </c>
      <c r="H59" s="462">
        <v>-9.2388702202506846E-7</v>
      </c>
      <c r="I59" s="463">
        <v>3.3355540567280328E-7</v>
      </c>
      <c r="J59" s="477">
        <v>0.62029854751873359</v>
      </c>
      <c r="K59" s="461">
        <v>0.4210730579760642</v>
      </c>
      <c r="L59" s="461">
        <v>0.14565417972849007</v>
      </c>
      <c r="M59" s="462">
        <v>0.18388453137724825</v>
      </c>
      <c r="N59" s="440">
        <f t="shared" si="1"/>
        <v>0.25616182968599532</v>
      </c>
      <c r="O59" s="458">
        <f t="shared" si="2"/>
        <v>6.5618882988076874E-2</v>
      </c>
      <c r="P59" s="436">
        <f t="shared" si="3"/>
        <v>0.62029854751873359</v>
      </c>
      <c r="Q59" s="440">
        <f t="shared" si="19"/>
        <v>6.8651965500324486E-2</v>
      </c>
      <c r="R59" s="440">
        <f t="shared" si="5"/>
        <v>1.1719451295371428</v>
      </c>
      <c r="S59" s="466">
        <f t="shared" si="6"/>
        <v>334012.5735174804</v>
      </c>
      <c r="T59" s="440">
        <f t="shared" si="7"/>
        <v>111564399267.77025</v>
      </c>
      <c r="U59" s="467">
        <f t="shared" si="8"/>
        <v>1144028.3843221369</v>
      </c>
      <c r="V59" s="467">
        <f t="shared" si="9"/>
        <v>658961.03222932038</v>
      </c>
      <c r="W59" s="467">
        <f t="shared" si="10"/>
        <v>1986158.3312550909</v>
      </c>
      <c r="X59" s="468">
        <f t="shared" si="11"/>
        <v>-0.22598330022308097</v>
      </c>
      <c r="Y59" s="468">
        <f t="shared" si="12"/>
        <v>0.22598330022308097</v>
      </c>
      <c r="Z59" s="442">
        <f t="shared" si="13"/>
        <v>615240</v>
      </c>
      <c r="AA59" s="471">
        <f t="shared" si="14"/>
        <v>0.62685384655802956</v>
      </c>
      <c r="AB59" s="473">
        <f t="shared" si="15"/>
        <v>0.87646037720472891</v>
      </c>
      <c r="AC59" s="976" t="s">
        <v>477</v>
      </c>
      <c r="AD59" s="435">
        <f t="shared" si="17"/>
        <v>7.5207264539620455E-2</v>
      </c>
      <c r="AE59" s="441">
        <f t="shared" si="18"/>
        <v>1.1785004285764387</v>
      </c>
      <c r="AF59" s="461"/>
      <c r="AG59" s="461"/>
      <c r="AH59" s="495"/>
      <c r="AI59" s="496"/>
    </row>
    <row r="60" spans="1:35">
      <c r="A60" s="455">
        <v>2009</v>
      </c>
      <c r="B60" s="479">
        <f t="shared" si="0"/>
        <v>2014</v>
      </c>
      <c r="C60" s="467">
        <f>VLOOKUP($A60,'Brd Tbl'!$A$8:$AX$64,2)</f>
        <v>604964</v>
      </c>
      <c r="D60" s="436">
        <f>VLOOKUP($A60,'Brd Tbl'!$A$8:$AX$64,25)</f>
        <v>1.1317053066336897</v>
      </c>
      <c r="E60" s="461">
        <v>47</v>
      </c>
      <c r="F60" s="461">
        <v>45</v>
      </c>
      <c r="G60" s="462">
        <v>1.1889897716176132</v>
      </c>
      <c r="H60" s="462">
        <v>-9.343515907185885E-7</v>
      </c>
      <c r="I60" s="463">
        <v>3.2942917381931265E-7</v>
      </c>
      <c r="J60" s="477">
        <v>0.62374069589013303</v>
      </c>
      <c r="K60" s="461">
        <v>0.41608909476988176</v>
      </c>
      <c r="L60" s="461">
        <v>0.15165494128637902</v>
      </c>
      <c r="M60" s="481">
        <v>0.17979071940321042</v>
      </c>
      <c r="N60" s="511">
        <f t="shared" si="1"/>
        <v>0.5079646107435567</v>
      </c>
      <c r="O60" s="458">
        <f t="shared" si="2"/>
        <v>0.2580280457678531</v>
      </c>
      <c r="P60" s="436">
        <f t="shared" si="3"/>
        <v>0.62374069589013303</v>
      </c>
      <c r="Q60" s="440">
        <f t="shared" si="19"/>
        <v>7.209411387172393E-2</v>
      </c>
      <c r="R60" s="440">
        <f t="shared" si="5"/>
        <v>1.1753872779085421</v>
      </c>
      <c r="S60" s="466">
        <f>EXP(D60)*C60-$E$60</f>
        <v>1875910.0948617512</v>
      </c>
      <c r="T60" s="440">
        <f t="shared" si="7"/>
        <v>3519038684004.2241</v>
      </c>
      <c r="U60" s="467">
        <f t="shared" si="8"/>
        <v>1128799.1505554025</v>
      </c>
      <c r="V60" s="467">
        <f t="shared" si="9"/>
        <v>650188.98448949505</v>
      </c>
      <c r="W60" s="467">
        <f t="shared" si="10"/>
        <v>1959718.7166974908</v>
      </c>
      <c r="X60" s="468">
        <f t="shared" si="11"/>
        <v>-0.39828093422435684</v>
      </c>
      <c r="Y60" s="468">
        <f t="shared" si="12"/>
        <v>0.39828093422435684</v>
      </c>
      <c r="Z60" s="442">
        <f t="shared" si="13"/>
        <v>604964</v>
      </c>
      <c r="AA60" s="471">
        <f t="shared" si="14"/>
        <v>0.63620423868756115</v>
      </c>
      <c r="AB60" s="473">
        <f t="shared" si="15"/>
        <v>1.1317053066336897</v>
      </c>
      <c r="AC60" s="976" t="s">
        <v>536</v>
      </c>
      <c r="AD60" s="435">
        <f t="shared" si="17"/>
        <v>8.4557656669152048E-2</v>
      </c>
      <c r="AE60" s="441">
        <f t="shared" si="18"/>
        <v>1.1878508207059704</v>
      </c>
      <c r="AF60" s="461"/>
      <c r="AG60" s="461"/>
      <c r="AH60" s="495"/>
      <c r="AI60" s="496"/>
    </row>
    <row r="61" spans="1:35">
      <c r="A61" s="455"/>
      <c r="B61" s="461"/>
      <c r="C61" s="488"/>
      <c r="D61" s="489"/>
      <c r="E61" s="461"/>
      <c r="F61" s="461"/>
      <c r="G61" s="462"/>
      <c r="H61" s="462"/>
      <c r="I61" s="461"/>
      <c r="J61" s="477"/>
      <c r="K61" s="461"/>
      <c r="L61" s="461"/>
      <c r="M61" s="497"/>
      <c r="N61" s="461"/>
      <c r="O61" s="497"/>
      <c r="P61" s="489"/>
      <c r="Q61" s="461"/>
      <c r="R61" s="461"/>
      <c r="S61" s="476"/>
      <c r="T61" s="461"/>
      <c r="U61" s="488"/>
      <c r="V61" s="488"/>
      <c r="W61" s="488"/>
      <c r="X61" s="490"/>
      <c r="Y61" s="468"/>
      <c r="Z61" s="491"/>
      <c r="AA61" s="492"/>
      <c r="AB61" s="494"/>
      <c r="AC61" s="800"/>
      <c r="AD61" s="461"/>
      <c r="AE61" s="494"/>
      <c r="AF61" s="461"/>
      <c r="AG61" s="461"/>
      <c r="AH61" s="461"/>
      <c r="AI61" s="461"/>
    </row>
    <row r="62" spans="1:35">
      <c r="A62" s="455">
        <v>2010</v>
      </c>
      <c r="B62" s="440">
        <f>A62+5</f>
        <v>2015</v>
      </c>
      <c r="C62" s="467">
        <f>VLOOKUP($A62,'Brd Tbl'!$A$8:$AX$64,2)</f>
        <v>668242</v>
      </c>
      <c r="D62" s="489"/>
      <c r="E62" s="461">
        <v>48</v>
      </c>
      <c r="F62" s="461">
        <v>46</v>
      </c>
      <c r="G62" s="462">
        <v>1.1866762729664599</v>
      </c>
      <c r="H62" s="462">
        <v>-9.0992527535340751E-7</v>
      </c>
      <c r="I62" s="463">
        <v>3.3042358150914884E-7</v>
      </c>
      <c r="J62" s="477">
        <v>0.57862598711374824</v>
      </c>
      <c r="K62" s="461">
        <v>0.41813647326147818</v>
      </c>
      <c r="L62" s="461">
        <v>0.14152669144886729</v>
      </c>
      <c r="M62" s="462">
        <v>0.18142066370247381</v>
      </c>
      <c r="N62" s="440">
        <f>D62-$E$62</f>
        <v>-48</v>
      </c>
      <c r="O62" s="512">
        <f>N62^2</f>
        <v>2304</v>
      </c>
      <c r="P62" s="436">
        <f>J62</f>
        <v>0.57862598711374824</v>
      </c>
      <c r="Q62" s="465">
        <f>$P62-(SQRT(O65)*Q65)</f>
        <v>2.4484491822635013E-2</v>
      </c>
      <c r="R62" s="440">
        <f>$P62+SQRT(O65)*Q65</f>
        <v>1.1327674824048615</v>
      </c>
      <c r="S62" s="466">
        <f>EXP(D62)*C62-$E$62</f>
        <v>668194</v>
      </c>
      <c r="T62" s="440">
        <f>S62^2</f>
        <v>446483221636</v>
      </c>
      <c r="U62" s="513">
        <f>EXP(P62)*C62</f>
        <v>1191867.126665314</v>
      </c>
      <c r="V62" s="899">
        <f>EXP(Q62)*C62</f>
        <v>684805.51291895227</v>
      </c>
      <c r="W62" s="899">
        <f>EXP(R62)*C62</f>
        <v>2074380.5661996114</v>
      </c>
      <c r="X62" s="490"/>
      <c r="Y62" s="227"/>
      <c r="Z62" s="442">
        <f>C62</f>
        <v>668242</v>
      </c>
      <c r="AA62" s="471">
        <f>(+G62+H62*C62)</f>
        <v>0.57862598711374824</v>
      </c>
      <c r="AB62" s="493"/>
      <c r="AC62" s="799" t="s">
        <v>477</v>
      </c>
      <c r="AD62" s="478">
        <f>AA62-SQRT(O65)*Q65</f>
        <v>2.4484491822635013E-2</v>
      </c>
      <c r="AE62" s="441">
        <f>AA62+SQRT(O65)*Q65</f>
        <v>1.1327674824048615</v>
      </c>
      <c r="AF62" s="440">
        <f>AA62</f>
        <v>0.57862598711374824</v>
      </c>
      <c r="AG62" s="461"/>
      <c r="AH62" s="461"/>
      <c r="AI62" s="461"/>
    </row>
    <row r="63" spans="1:35">
      <c r="A63" s="456"/>
      <c r="B63" s="498"/>
      <c r="C63" s="499"/>
      <c r="D63" s="500"/>
      <c r="E63" s="498"/>
      <c r="F63" s="498"/>
      <c r="G63" s="500"/>
      <c r="H63" s="498"/>
      <c r="I63" s="501"/>
      <c r="J63" s="500"/>
      <c r="K63" s="498"/>
      <c r="L63" s="498"/>
      <c r="M63" s="502"/>
      <c r="N63" s="498"/>
      <c r="O63" s="502"/>
      <c r="P63" s="500"/>
      <c r="Q63" s="498"/>
      <c r="R63" s="498"/>
      <c r="S63" s="498"/>
      <c r="T63" s="498"/>
      <c r="U63" s="499"/>
      <c r="V63" s="499"/>
      <c r="W63" s="499"/>
      <c r="X63" s="503"/>
      <c r="Z63" s="504"/>
      <c r="AA63" s="505"/>
      <c r="AB63" s="503"/>
      <c r="AC63" s="503"/>
      <c r="AD63" s="498"/>
      <c r="AE63" s="503"/>
      <c r="AF63" s="461"/>
      <c r="AG63" s="461"/>
      <c r="AH63" s="461"/>
      <c r="AI63" s="461"/>
    </row>
    <row r="64" spans="1:35">
      <c r="A64" s="455"/>
      <c r="B64" s="461"/>
      <c r="C64" s="488"/>
      <c r="D64" s="489"/>
      <c r="E64" s="495" t="s">
        <v>184</v>
      </c>
      <c r="F64" s="440">
        <f>F60</f>
        <v>45</v>
      </c>
      <c r="G64" s="489" t="s">
        <v>183</v>
      </c>
      <c r="H64" s="461"/>
      <c r="I64" s="464"/>
      <c r="J64" s="489"/>
      <c r="K64" s="461"/>
      <c r="L64" s="461"/>
      <c r="M64" s="506" t="s">
        <v>185</v>
      </c>
      <c r="N64" s="461"/>
      <c r="O64" s="924">
        <f>AVERAGE(INDEX(O$13:O$61,COUNT(O$13:O$61)-1,0):INDEX(O$13:O$61,(COUNT(O$13:O$61)-(COUNT(O$13:O$61)-1)),0))</f>
        <v>0.17979071940321042</v>
      </c>
      <c r="P64" s="507" t="s">
        <v>186</v>
      </c>
      <c r="Q64" s="440">
        <f>VLOOKUP(F64,ttab!$A$4:$G$44,4)</f>
        <v>1.3009999999999999</v>
      </c>
      <c r="R64" s="461"/>
      <c r="S64" s="461"/>
      <c r="T64" s="461"/>
      <c r="U64" s="488"/>
      <c r="V64" s="488"/>
      <c r="W64" s="461"/>
      <c r="X64" s="494"/>
      <c r="Y64" s="227"/>
      <c r="Z64" s="508"/>
      <c r="AA64" s="461"/>
      <c r="AB64" s="461"/>
      <c r="AC64" s="461"/>
      <c r="AD64" s="461"/>
      <c r="AE64" s="461"/>
      <c r="AF64" s="461"/>
      <c r="AG64" s="461"/>
      <c r="AH64" s="461"/>
      <c r="AI64" s="461"/>
    </row>
    <row r="65" spans="1:35" ht="15.75">
      <c r="A65" s="455"/>
      <c r="B65" s="461"/>
      <c r="C65" s="509" t="s">
        <v>205</v>
      </c>
      <c r="D65" s="436">
        <f>AVERAGEA(D13:D61)</f>
        <v>0.70627297214072271</v>
      </c>
      <c r="E65" s="495" t="s">
        <v>184</v>
      </c>
      <c r="F65" s="440">
        <f>F62</f>
        <v>46</v>
      </c>
      <c r="G65" s="489" t="s">
        <v>187</v>
      </c>
      <c r="H65" s="461"/>
      <c r="I65" s="464"/>
      <c r="J65" s="489"/>
      <c r="K65" s="461"/>
      <c r="L65" s="461"/>
      <c r="M65" s="506" t="s">
        <v>188</v>
      </c>
      <c r="N65" s="461"/>
      <c r="O65" s="458">
        <f>AVERAGEA(O13:O61)</f>
        <v>0.18142066370247381</v>
      </c>
      <c r="P65" s="507" t="s">
        <v>186</v>
      </c>
      <c r="Q65" s="440">
        <f>VLOOKUP(F65,ttab!$A$4:$G$44,4)</f>
        <v>1.3009999999999999</v>
      </c>
      <c r="R65" s="461"/>
      <c r="S65" s="495" t="s">
        <v>189</v>
      </c>
      <c r="T65" s="440">
        <f>AVERAGEA(T13:T61)</f>
        <v>268081675381.08081</v>
      </c>
      <c r="U65" s="488"/>
      <c r="V65" s="488"/>
      <c r="W65" s="461" t="s">
        <v>190</v>
      </c>
      <c r="X65" s="486">
        <f>AVERAGEA(X13:X61)</f>
        <v>0.10225663809121799</v>
      </c>
      <c r="Y65" s="516">
        <f>AVERAGEA(Y13:Y61)</f>
        <v>0.38206964288358325</v>
      </c>
      <c r="Z65" s="508"/>
      <c r="AA65" s="461"/>
      <c r="AB65" s="461"/>
      <c r="AC65" s="461"/>
      <c r="AD65" s="461"/>
      <c r="AE65" s="461"/>
      <c r="AF65" s="461"/>
      <c r="AG65" s="461"/>
      <c r="AH65" s="461"/>
      <c r="AI65" s="461"/>
    </row>
    <row r="66" spans="1:35">
      <c r="A66" s="498"/>
      <c r="B66" s="498"/>
      <c r="C66" s="499"/>
      <c r="D66" s="500"/>
      <c r="E66" s="498"/>
      <c r="F66" s="498"/>
      <c r="G66" s="500"/>
      <c r="H66" s="498"/>
      <c r="I66" s="501"/>
      <c r="J66" s="500"/>
      <c r="K66" s="498"/>
      <c r="L66" s="498"/>
      <c r="M66" s="502"/>
      <c r="N66" s="498"/>
      <c r="O66" s="502"/>
      <c r="P66" s="500"/>
      <c r="Q66" s="498"/>
      <c r="R66" s="498"/>
      <c r="S66" s="498"/>
      <c r="T66" s="498"/>
      <c r="U66" s="499"/>
      <c r="V66" s="499"/>
      <c r="W66" s="498"/>
      <c r="X66" s="503"/>
      <c r="Y66" s="227"/>
      <c r="Z66" s="488"/>
      <c r="AA66" s="461"/>
      <c r="AB66" s="461"/>
      <c r="AC66" s="461"/>
      <c r="AD66" s="461"/>
      <c r="AE66" s="461"/>
      <c r="AF66" s="461"/>
      <c r="AG66" s="461"/>
      <c r="AH66" s="461"/>
      <c r="AI66" s="461"/>
    </row>
    <row r="67" spans="1:35">
      <c r="A67" s="461"/>
      <c r="B67" s="461"/>
      <c r="C67" s="488"/>
      <c r="D67" s="489"/>
      <c r="E67" s="461"/>
      <c r="F67" s="461"/>
      <c r="G67" s="489"/>
      <c r="H67" s="461"/>
      <c r="I67" s="464"/>
      <c r="J67" s="489"/>
      <c r="K67" s="461"/>
      <c r="L67" s="461"/>
      <c r="M67" s="497"/>
      <c r="N67" s="461"/>
      <c r="O67" s="497"/>
      <c r="P67" s="489"/>
      <c r="Q67" s="461"/>
      <c r="R67" s="461"/>
      <c r="S67" s="461"/>
      <c r="T67" s="461"/>
      <c r="U67" s="488"/>
      <c r="V67" s="488"/>
      <c r="W67" s="461"/>
      <c r="X67" s="461"/>
      <c r="Y67" s="461"/>
      <c r="Z67" s="488"/>
      <c r="AA67" s="461"/>
      <c r="AB67" s="461"/>
      <c r="AC67" s="461"/>
      <c r="AD67" s="461"/>
      <c r="AE67" s="461"/>
      <c r="AF67" s="461"/>
      <c r="AG67" s="461"/>
      <c r="AH67" s="461"/>
      <c r="AI67" s="461"/>
    </row>
    <row r="68" spans="1:35">
      <c r="A68" s="461"/>
      <c r="B68" s="461" t="s">
        <v>194</v>
      </c>
      <c r="C68" s="461"/>
      <c r="D68" s="461" t="s">
        <v>195</v>
      </c>
      <c r="E68" s="461"/>
      <c r="F68" s="461"/>
      <c r="G68" s="489"/>
      <c r="H68" s="461"/>
      <c r="I68" s="464"/>
      <c r="J68" s="489"/>
      <c r="K68" s="461"/>
      <c r="L68" s="461"/>
      <c r="M68" s="497" t="s">
        <v>191</v>
      </c>
      <c r="N68" s="461"/>
      <c r="O68" s="497"/>
      <c r="P68" s="489"/>
      <c r="Q68" s="461"/>
      <c r="R68" s="461"/>
      <c r="S68" s="461"/>
      <c r="T68" s="461"/>
      <c r="U68" s="488"/>
      <c r="V68" s="488"/>
      <c r="W68" s="461"/>
      <c r="X68" s="461"/>
      <c r="Y68" s="461"/>
      <c r="Z68" s="488"/>
      <c r="AA68" s="461"/>
      <c r="AB68" s="461"/>
      <c r="AC68" s="461"/>
      <c r="AD68" s="461"/>
      <c r="AE68" s="461"/>
      <c r="AF68" s="461"/>
      <c r="AG68" s="461"/>
      <c r="AH68" s="461"/>
      <c r="AI68" s="461"/>
    </row>
    <row r="69" spans="1:35">
      <c r="A69" s="455">
        <v>1962</v>
      </c>
      <c r="B69" s="436">
        <f>('Brd Tbl'!V$62-'Brd Tbl'!V9)/'Brd Tbl'!V$62</f>
        <v>0.49205824923001157</v>
      </c>
      <c r="C69" s="461"/>
      <c r="D69" s="436">
        <f t="shared" ref="D69:D98" si="20">(D13-D$65)/D$65</f>
        <v>-0.57742050366492337</v>
      </c>
      <c r="E69" s="461"/>
      <c r="F69" s="461"/>
      <c r="G69" s="489"/>
      <c r="H69" s="461"/>
      <c r="I69" s="464"/>
      <c r="J69" s="489"/>
      <c r="K69" s="461"/>
      <c r="L69" s="461"/>
      <c r="M69" s="497"/>
      <c r="N69" s="461"/>
      <c r="O69" s="497"/>
      <c r="P69" s="489"/>
      <c r="Q69" s="461"/>
      <c r="R69" s="461"/>
      <c r="S69" s="461"/>
      <c r="T69" s="461"/>
      <c r="U69" s="488"/>
      <c r="V69" s="488"/>
      <c r="W69" s="461"/>
      <c r="X69" s="461"/>
      <c r="Y69" s="461"/>
      <c r="Z69" s="488"/>
      <c r="AA69" s="461"/>
      <c r="AB69" s="461"/>
      <c r="AC69" s="461"/>
      <c r="AD69" s="461"/>
      <c r="AE69" s="461"/>
      <c r="AF69" s="461"/>
      <c r="AG69" s="461"/>
      <c r="AH69" s="461"/>
      <c r="AI69" s="461"/>
    </row>
    <row r="70" spans="1:35">
      <c r="A70" s="455">
        <v>1963</v>
      </c>
      <c r="B70" s="436">
        <f>('Brd Tbl'!V$62-'Brd Tbl'!V10)/'Brd Tbl'!V$62</f>
        <v>0.55444642233182739</v>
      </c>
      <c r="C70" s="461"/>
      <c r="D70" s="436">
        <f t="shared" si="20"/>
        <v>-0.15589226722026511</v>
      </c>
      <c r="E70" s="461"/>
      <c r="F70" s="461"/>
      <c r="G70" s="489"/>
      <c r="H70" s="461"/>
      <c r="I70" s="464"/>
      <c r="J70" s="489"/>
      <c r="K70" s="461"/>
      <c r="L70" s="461"/>
      <c r="M70" s="497"/>
      <c r="N70" s="461"/>
      <c r="O70" s="497"/>
      <c r="P70" s="489"/>
      <c r="Q70" s="461"/>
      <c r="R70" s="461"/>
      <c r="S70" s="461"/>
      <c r="T70" s="461"/>
      <c r="U70" s="488"/>
      <c r="V70" s="488"/>
      <c r="W70" s="461"/>
      <c r="X70" s="461"/>
      <c r="Y70" s="461"/>
      <c r="Z70" s="488"/>
      <c r="AA70" s="461"/>
      <c r="AB70" s="461"/>
      <c r="AC70" s="461"/>
      <c r="AD70" s="461"/>
      <c r="AE70" s="461"/>
      <c r="AF70" s="461"/>
      <c r="AG70" s="461"/>
      <c r="AH70" s="461"/>
      <c r="AI70" s="461"/>
    </row>
    <row r="71" spans="1:35">
      <c r="A71" s="455">
        <v>1964</v>
      </c>
      <c r="B71" s="436">
        <f>('Brd Tbl'!V$62-'Brd Tbl'!V11)/'Brd Tbl'!V$62</f>
        <v>0.24267702079642994</v>
      </c>
      <c r="C71" s="461"/>
      <c r="D71" s="436">
        <f t="shared" si="20"/>
        <v>0.80314066296181086</v>
      </c>
      <c r="E71" s="461"/>
      <c r="F71" s="461"/>
      <c r="G71" s="489"/>
      <c r="H71" s="461"/>
      <c r="I71" s="464"/>
      <c r="J71" s="489"/>
      <c r="K71" s="461"/>
      <c r="L71" s="461"/>
      <c r="M71" s="497"/>
      <c r="N71" s="461"/>
      <c r="O71" s="497"/>
      <c r="P71" s="489"/>
      <c r="Q71" s="461"/>
      <c r="R71" s="461"/>
      <c r="S71" s="461"/>
      <c r="T71" s="461"/>
      <c r="U71" s="488"/>
      <c r="V71" s="488"/>
      <c r="W71" s="461"/>
      <c r="X71" s="461"/>
      <c r="Y71" s="461"/>
      <c r="Z71" s="488"/>
      <c r="AA71" s="461"/>
      <c r="AB71" s="461"/>
      <c r="AC71" s="461"/>
      <c r="AD71" s="461"/>
      <c r="AE71" s="461"/>
      <c r="AF71" s="461"/>
      <c r="AG71" s="461"/>
      <c r="AH71" s="461"/>
      <c r="AI71" s="461"/>
    </row>
    <row r="72" spans="1:35">
      <c r="A72" s="455">
        <v>1965</v>
      </c>
      <c r="B72" s="436">
        <f>('Brd Tbl'!V$62-'Brd Tbl'!V12)/'Brd Tbl'!V$62</f>
        <v>-2.063585202842565E-2</v>
      </c>
      <c r="C72" s="461"/>
      <c r="D72" s="436">
        <f t="shared" si="20"/>
        <v>0.56326634726468794</v>
      </c>
      <c r="E72" s="461"/>
      <c r="F72" s="461"/>
      <c r="G72" s="489"/>
      <c r="H72" s="461"/>
      <c r="I72" s="464"/>
      <c r="J72" s="489"/>
      <c r="K72" s="461"/>
      <c r="L72" s="461"/>
      <c r="M72" s="497"/>
      <c r="N72" s="461"/>
      <c r="O72" s="497"/>
      <c r="P72" s="489"/>
      <c r="Q72" s="461"/>
      <c r="R72" s="461"/>
      <c r="S72" s="461"/>
      <c r="T72" s="461"/>
      <c r="U72" s="488"/>
      <c r="V72" s="488"/>
      <c r="W72" s="461"/>
      <c r="X72" s="461"/>
      <c r="Y72" s="461"/>
      <c r="Z72" s="488"/>
      <c r="AA72" s="461"/>
      <c r="AB72" s="461"/>
      <c r="AC72" s="461"/>
      <c r="AD72" s="461"/>
      <c r="AE72" s="461"/>
      <c r="AF72" s="461"/>
      <c r="AG72" s="461"/>
      <c r="AH72" s="461"/>
      <c r="AI72" s="461"/>
    </row>
    <row r="73" spans="1:35">
      <c r="A73" s="455">
        <v>1966</v>
      </c>
      <c r="B73" s="436">
        <f>('Brd Tbl'!V$62-'Brd Tbl'!V13)/'Brd Tbl'!V$62</f>
        <v>0.19698702318114206</v>
      </c>
      <c r="C73" s="461"/>
      <c r="D73" s="436">
        <f t="shared" si="20"/>
        <v>0.21952263578936204</v>
      </c>
      <c r="E73" s="461"/>
      <c r="F73" s="461"/>
      <c r="G73" s="489"/>
      <c r="H73" s="461"/>
      <c r="I73" s="464"/>
      <c r="J73" s="461"/>
      <c r="K73" s="461"/>
      <c r="L73" s="461"/>
      <c r="M73" s="497"/>
      <c r="N73" s="461"/>
      <c r="O73" s="497"/>
      <c r="P73" s="489"/>
      <c r="Q73" s="461"/>
      <c r="R73" s="461"/>
      <c r="S73" s="461"/>
      <c r="T73" s="461"/>
      <c r="U73" s="488"/>
      <c r="V73" s="488"/>
      <c r="W73" s="461"/>
      <c r="X73" s="461"/>
      <c r="Y73" s="461"/>
      <c r="Z73" s="488"/>
      <c r="AA73" s="461"/>
      <c r="AB73" s="461"/>
      <c r="AC73" s="461"/>
      <c r="AD73" s="461"/>
      <c r="AE73" s="461"/>
      <c r="AF73" s="461"/>
      <c r="AG73" s="461"/>
      <c r="AH73" s="461"/>
      <c r="AI73" s="461"/>
    </row>
    <row r="74" spans="1:35">
      <c r="A74" s="455">
        <v>1967</v>
      </c>
      <c r="B74" s="436">
        <f>('Brd Tbl'!V$62-'Brd Tbl'!V14)/'Brd Tbl'!V$62</f>
        <v>0.35886553720122705</v>
      </c>
      <c r="C74" s="461"/>
      <c r="D74" s="436">
        <f t="shared" si="20"/>
        <v>1.1733157319621563</v>
      </c>
      <c r="E74" s="461"/>
      <c r="F74" s="461"/>
      <c r="G74" s="489"/>
      <c r="H74" s="461"/>
      <c r="I74" s="464"/>
      <c r="J74" s="461"/>
      <c r="K74" s="461"/>
      <c r="L74" s="461"/>
      <c r="M74" s="497"/>
      <c r="N74" s="461"/>
      <c r="O74" s="497"/>
      <c r="P74" s="489"/>
      <c r="Q74" s="461"/>
      <c r="R74" s="461"/>
      <c r="S74" s="461"/>
      <c r="T74" s="461"/>
      <c r="U74" s="488"/>
      <c r="V74" s="488"/>
      <c r="W74" s="461"/>
      <c r="X74" s="461"/>
      <c r="Y74" s="461"/>
      <c r="Z74" s="488"/>
      <c r="AA74" s="461"/>
      <c r="AB74" s="461"/>
      <c r="AC74" s="461"/>
      <c r="AD74" s="461"/>
      <c r="AE74" s="461"/>
      <c r="AF74" s="461"/>
      <c r="AG74" s="461"/>
      <c r="AH74" s="461"/>
      <c r="AI74" s="461"/>
    </row>
    <row r="75" spans="1:35">
      <c r="A75" s="455">
        <v>1968</v>
      </c>
      <c r="B75" s="436">
        <f>('Brd Tbl'!V$62-'Brd Tbl'!V15)/'Brd Tbl'!V$62</f>
        <v>0.46290623638519779</v>
      </c>
      <c r="C75" s="461"/>
      <c r="D75" s="436">
        <f t="shared" si="20"/>
        <v>0.31231975731954581</v>
      </c>
      <c r="E75" s="461"/>
      <c r="F75" s="461"/>
      <c r="G75" s="489"/>
      <c r="H75" s="461"/>
      <c r="I75" s="464"/>
      <c r="J75" s="489"/>
      <c r="K75" s="461"/>
      <c r="L75" s="461"/>
      <c r="M75" s="497"/>
      <c r="N75" s="461"/>
      <c r="O75" s="497"/>
      <c r="P75" s="489"/>
      <c r="Q75" s="461"/>
      <c r="R75" s="461"/>
      <c r="S75" s="461"/>
      <c r="T75" s="461"/>
      <c r="U75" s="488"/>
      <c r="V75" s="488"/>
      <c r="W75" s="461"/>
      <c r="X75" s="461"/>
      <c r="Y75" s="461"/>
      <c r="Z75" s="488"/>
      <c r="AA75" s="461"/>
      <c r="AB75" s="461"/>
      <c r="AC75" s="461"/>
      <c r="AD75" s="461"/>
      <c r="AE75" s="461"/>
      <c r="AF75" s="461"/>
      <c r="AG75" s="461"/>
      <c r="AH75" s="461"/>
      <c r="AI75" s="461"/>
    </row>
    <row r="76" spans="1:35">
      <c r="A76" s="455">
        <v>1969</v>
      </c>
      <c r="B76" s="436">
        <f>('Brd Tbl'!V$62-'Brd Tbl'!V16)/'Brd Tbl'!V$62</f>
        <v>0.42169502489810606</v>
      </c>
      <c r="C76" s="461"/>
      <c r="D76" s="436">
        <f t="shared" si="20"/>
        <v>-0.73050011666806913</v>
      </c>
      <c r="E76" s="461"/>
      <c r="F76" s="461"/>
      <c r="G76" s="489"/>
      <c r="H76" s="461"/>
      <c r="I76" s="464"/>
      <c r="J76" s="489"/>
      <c r="K76" s="461"/>
      <c r="L76" s="461"/>
      <c r="M76" s="497"/>
      <c r="N76" s="461"/>
      <c r="O76" s="497"/>
      <c r="P76" s="489"/>
      <c r="Q76" s="461"/>
      <c r="R76" s="461"/>
      <c r="S76" s="461"/>
      <c r="T76" s="461"/>
      <c r="U76" s="488"/>
      <c r="V76" s="488"/>
      <c r="W76" s="461"/>
      <c r="X76" s="461"/>
      <c r="Y76" s="461"/>
      <c r="Z76" s="488"/>
      <c r="AA76" s="461"/>
      <c r="AB76" s="461"/>
      <c r="AC76" s="461"/>
      <c r="AD76" s="461"/>
      <c r="AE76" s="461"/>
      <c r="AF76" s="461"/>
      <c r="AG76" s="461"/>
      <c r="AH76" s="461"/>
      <c r="AI76" s="461"/>
    </row>
    <row r="77" spans="1:35">
      <c r="A77" s="455">
        <v>1970</v>
      </c>
      <c r="B77" s="436">
        <f>('Brd Tbl'!V$62-'Brd Tbl'!V17)/'Brd Tbl'!V$62</f>
        <v>0.68605655775992502</v>
      </c>
      <c r="C77" s="461"/>
      <c r="D77" s="436">
        <f t="shared" si="20"/>
        <v>-0.92929194663485504</v>
      </c>
      <c r="E77" s="461"/>
      <c r="F77" s="461"/>
      <c r="G77" s="489"/>
      <c r="H77" s="461"/>
      <c r="I77" s="464"/>
      <c r="J77" s="489"/>
      <c r="K77" s="461"/>
      <c r="L77" s="461"/>
      <c r="M77" s="497"/>
      <c r="N77" s="461"/>
      <c r="O77" s="497"/>
      <c r="P77" s="489"/>
      <c r="Q77" s="461"/>
      <c r="R77" s="461"/>
      <c r="S77" s="461"/>
      <c r="T77" s="461"/>
      <c r="U77" s="488"/>
      <c r="V77" s="488"/>
      <c r="W77" s="461"/>
      <c r="X77" s="461"/>
      <c r="Y77" s="461"/>
      <c r="Z77" s="488"/>
      <c r="AA77" s="461"/>
      <c r="AB77" s="461"/>
      <c r="AC77" s="461"/>
      <c r="AD77" s="461"/>
      <c r="AE77" s="461"/>
      <c r="AF77" s="461"/>
      <c r="AG77" s="461"/>
      <c r="AH77" s="461"/>
      <c r="AI77" s="461"/>
    </row>
    <row r="78" spans="1:35">
      <c r="A78" s="456">
        <v>1971</v>
      </c>
      <c r="B78" s="436">
        <f>('Brd Tbl'!V$62-'Brd Tbl'!V18)/'Brd Tbl'!V$62</f>
        <v>0.14776787090516358</v>
      </c>
      <c r="C78" s="461"/>
      <c r="D78" s="436">
        <f t="shared" si="20"/>
        <v>-0.3280800369737577</v>
      </c>
      <c r="E78" s="461"/>
      <c r="F78" s="461"/>
      <c r="G78" s="489"/>
      <c r="H78" s="461"/>
      <c r="I78" s="464"/>
      <c r="J78" s="489"/>
      <c r="K78" s="461"/>
      <c r="L78" s="461"/>
      <c r="M78" s="497"/>
      <c r="N78" s="461"/>
      <c r="O78" s="497"/>
      <c r="P78" s="489"/>
      <c r="Q78" s="461"/>
      <c r="R78" s="461"/>
      <c r="S78" s="461"/>
      <c r="T78" s="461"/>
      <c r="U78" s="488"/>
      <c r="V78" s="488"/>
      <c r="W78" s="461"/>
      <c r="X78" s="461"/>
      <c r="Y78" s="461"/>
      <c r="Z78" s="488"/>
      <c r="AA78" s="461"/>
      <c r="AB78" s="461"/>
      <c r="AC78" s="461"/>
      <c r="AD78" s="461"/>
      <c r="AE78" s="461"/>
      <c r="AF78" s="461"/>
      <c r="AG78" s="461"/>
      <c r="AH78" s="461"/>
      <c r="AI78" s="461"/>
    </row>
    <row r="79" spans="1:35">
      <c r="A79" s="455">
        <v>1972</v>
      </c>
      <c r="B79" s="436">
        <f>('Brd Tbl'!V$62-'Brd Tbl'!V19)/'Brd Tbl'!V$62</f>
        <v>0.2335702162143829</v>
      </c>
      <c r="C79" s="461"/>
      <c r="D79" s="436">
        <f t="shared" si="20"/>
        <v>3.1641398581320382E-2</v>
      </c>
      <c r="E79" s="461"/>
      <c r="F79" s="461"/>
      <c r="G79" s="489"/>
      <c r="H79" s="461"/>
      <c r="I79" s="464"/>
      <c r="J79" s="489"/>
      <c r="K79" s="461"/>
      <c r="L79" s="461"/>
      <c r="M79" s="497"/>
      <c r="N79" s="461"/>
      <c r="O79" s="497"/>
      <c r="P79" s="489"/>
      <c r="Q79" s="461"/>
      <c r="R79" s="461"/>
      <c r="S79" s="461"/>
      <c r="T79" s="461"/>
      <c r="U79" s="488"/>
      <c r="V79" s="488"/>
      <c r="W79" s="461"/>
      <c r="X79" s="461"/>
      <c r="Y79" s="461"/>
      <c r="Z79" s="488"/>
      <c r="AA79" s="461"/>
      <c r="AB79" s="461"/>
      <c r="AC79" s="461"/>
      <c r="AD79" s="461"/>
      <c r="AE79" s="461"/>
      <c r="AF79" s="461"/>
      <c r="AG79" s="461"/>
      <c r="AH79" s="461"/>
      <c r="AI79" s="461"/>
    </row>
    <row r="80" spans="1:35">
      <c r="A80" s="455">
        <v>1973</v>
      </c>
      <c r="B80" s="436">
        <f>('Brd Tbl'!V$62-'Brd Tbl'!V20)/'Brd Tbl'!V$62</f>
        <v>0.73066356203392158</v>
      </c>
      <c r="C80" s="461"/>
      <c r="D80" s="436">
        <f t="shared" si="20"/>
        <v>-1.5295857302351286</v>
      </c>
      <c r="E80" s="461"/>
      <c r="F80" s="461"/>
      <c r="G80" s="489"/>
      <c r="H80" s="461"/>
      <c r="I80" s="464"/>
      <c r="J80" s="489"/>
      <c r="K80" s="461"/>
      <c r="L80" s="461"/>
      <c r="M80" s="497"/>
      <c r="N80" s="461"/>
      <c r="O80" s="497"/>
      <c r="P80" s="489"/>
      <c r="Q80" s="461"/>
      <c r="R80" s="461"/>
      <c r="S80" s="461"/>
      <c r="T80" s="461"/>
      <c r="U80" s="488"/>
      <c r="V80" s="488"/>
      <c r="W80" s="461"/>
      <c r="X80" s="461"/>
      <c r="Y80" s="461"/>
      <c r="Z80" s="488"/>
      <c r="AA80" s="461"/>
      <c r="AB80" s="461"/>
      <c r="AC80" s="461"/>
      <c r="AD80" s="461"/>
      <c r="AE80" s="461"/>
      <c r="AF80" s="461"/>
      <c r="AG80" s="461"/>
      <c r="AH80" s="461"/>
      <c r="AI80" s="461"/>
    </row>
    <row r="81" spans="1:35">
      <c r="A81" s="455">
        <v>1974</v>
      </c>
      <c r="B81" s="436">
        <f>('Brd Tbl'!V$62-'Brd Tbl'!V21)/'Brd Tbl'!V$62</f>
        <v>0.59899611614186532</v>
      </c>
      <c r="C81" s="461"/>
      <c r="D81" s="436">
        <f t="shared" si="20"/>
        <v>5.7170564463000811E-2</v>
      </c>
      <c r="E81" s="461"/>
      <c r="F81" s="461"/>
      <c r="G81" s="489"/>
      <c r="H81" s="461"/>
      <c r="I81" s="464"/>
      <c r="J81" s="489"/>
      <c r="K81" s="461"/>
      <c r="L81" s="461"/>
      <c r="M81" s="497"/>
      <c r="N81" s="461"/>
      <c r="O81" s="497"/>
      <c r="P81" s="489"/>
      <c r="Q81" s="461"/>
      <c r="R81" s="461"/>
      <c r="S81" s="461"/>
      <c r="T81" s="461"/>
      <c r="U81" s="488"/>
      <c r="V81" s="488"/>
      <c r="W81" s="461"/>
      <c r="X81" s="461"/>
      <c r="Y81" s="461"/>
      <c r="Z81" s="488"/>
      <c r="AA81" s="461"/>
      <c r="AB81" s="461"/>
      <c r="AC81" s="461"/>
      <c r="AD81" s="461"/>
      <c r="AE81" s="461"/>
      <c r="AF81" s="461"/>
      <c r="AG81" s="461"/>
      <c r="AH81" s="461"/>
      <c r="AI81" s="461"/>
    </row>
    <row r="82" spans="1:35">
      <c r="A82" s="455">
        <v>1975</v>
      </c>
      <c r="B82" s="436">
        <f>('Brd Tbl'!V$62-'Brd Tbl'!V22)/'Brd Tbl'!V$62</f>
        <v>0.62788822476593775</v>
      </c>
      <c r="C82" s="461"/>
      <c r="D82" s="436">
        <f t="shared" si="20"/>
        <v>0.2279884244472262</v>
      </c>
      <c r="E82" s="461"/>
      <c r="F82" s="461"/>
      <c r="G82" s="489"/>
      <c r="H82" s="461"/>
      <c r="I82" s="464"/>
      <c r="J82" s="489"/>
      <c r="K82" s="461"/>
      <c r="L82" s="461"/>
      <c r="M82" s="497"/>
      <c r="N82" s="461"/>
      <c r="O82" s="497"/>
      <c r="P82" s="489"/>
      <c r="Q82" s="461"/>
      <c r="R82" s="461"/>
      <c r="S82" s="461"/>
      <c r="T82" s="461"/>
      <c r="U82" s="488"/>
      <c r="V82" s="488"/>
      <c r="W82" s="461"/>
      <c r="X82" s="461"/>
      <c r="Y82" s="461"/>
      <c r="Z82" s="488"/>
      <c r="AA82" s="461"/>
      <c r="AB82" s="461"/>
      <c r="AC82" s="461"/>
      <c r="AD82" s="461"/>
      <c r="AE82" s="461"/>
      <c r="AF82" s="461"/>
      <c r="AG82" s="461"/>
      <c r="AH82" s="461"/>
      <c r="AI82" s="461"/>
    </row>
    <row r="83" spans="1:35">
      <c r="A83" s="455">
        <v>1976</v>
      </c>
      <c r="B83" s="436">
        <f>('Brd Tbl'!V$62-'Brd Tbl'!V23)/'Brd Tbl'!V$62</f>
        <v>0.18747915026144618</v>
      </c>
      <c r="C83" s="461"/>
      <c r="D83" s="436">
        <f t="shared" si="20"/>
        <v>0.81758599887090067</v>
      </c>
      <c r="E83" s="461"/>
      <c r="F83" s="461"/>
      <c r="G83" s="489"/>
      <c r="H83" s="461"/>
      <c r="I83" s="464"/>
      <c r="J83" s="489"/>
      <c r="K83" s="461"/>
      <c r="L83" s="461"/>
      <c r="M83" s="497"/>
      <c r="N83" s="461"/>
      <c r="O83" s="497"/>
      <c r="P83" s="489"/>
      <c r="Q83" s="461"/>
      <c r="R83" s="461"/>
      <c r="S83" s="461"/>
      <c r="T83" s="461"/>
      <c r="U83" s="488"/>
      <c r="V83" s="488"/>
      <c r="W83" s="461"/>
      <c r="X83" s="461"/>
      <c r="Y83" s="461"/>
      <c r="Z83" s="488"/>
      <c r="AA83" s="461"/>
      <c r="AB83" s="461"/>
      <c r="AC83" s="461"/>
      <c r="AD83" s="461"/>
      <c r="AE83" s="461"/>
      <c r="AF83" s="461"/>
      <c r="AG83" s="461"/>
      <c r="AH83" s="461"/>
      <c r="AI83" s="461"/>
    </row>
    <row r="84" spans="1:35">
      <c r="A84" s="455">
        <v>1977</v>
      </c>
      <c r="B84" s="436">
        <f>('Brd Tbl'!V$62-'Brd Tbl'!V24)/'Brd Tbl'!V$62</f>
        <v>-0.22440599059129923</v>
      </c>
      <c r="C84" s="461"/>
      <c r="D84" s="436">
        <f t="shared" si="20"/>
        <v>0.88482957158597231</v>
      </c>
      <c r="E84" s="461"/>
      <c r="F84" s="461"/>
      <c r="G84" s="489"/>
      <c r="H84" s="461"/>
      <c r="I84" s="464"/>
      <c r="J84" s="489"/>
      <c r="K84" s="461"/>
      <c r="L84" s="461"/>
      <c r="M84" s="497"/>
      <c r="N84" s="461"/>
      <c r="O84" s="497"/>
      <c r="P84" s="489"/>
      <c r="Q84" s="461"/>
      <c r="R84" s="461"/>
      <c r="S84" s="461"/>
      <c r="T84" s="461"/>
      <c r="U84" s="488"/>
      <c r="V84" s="488"/>
      <c r="W84" s="461"/>
      <c r="X84" s="461"/>
      <c r="Y84" s="461"/>
      <c r="Z84" s="488"/>
      <c r="AA84" s="461"/>
      <c r="AB84" s="461"/>
      <c r="AC84" s="461"/>
      <c r="AD84" s="461"/>
      <c r="AE84" s="461"/>
      <c r="AF84" s="461"/>
      <c r="AG84" s="461"/>
      <c r="AH84" s="461"/>
      <c r="AI84" s="461"/>
    </row>
    <row r="85" spans="1:35">
      <c r="A85" s="455">
        <v>1978</v>
      </c>
      <c r="B85" s="436">
        <f>('Brd Tbl'!V$62-'Brd Tbl'!V25)/'Brd Tbl'!V$62</f>
        <v>0.25990800833789068</v>
      </c>
      <c r="C85" s="461"/>
      <c r="D85" s="436">
        <f t="shared" si="20"/>
        <v>0.76811412046819516</v>
      </c>
      <c r="E85" s="461"/>
      <c r="F85" s="461"/>
      <c r="G85" s="489"/>
      <c r="H85" s="461"/>
      <c r="I85" s="464"/>
      <c r="J85" s="489"/>
      <c r="K85" s="461"/>
      <c r="L85" s="461"/>
      <c r="M85" s="497"/>
      <c r="N85" s="461"/>
      <c r="O85" s="497"/>
      <c r="P85" s="489"/>
      <c r="Q85" s="461"/>
      <c r="R85" s="461"/>
      <c r="S85" s="461"/>
      <c r="T85" s="461"/>
      <c r="U85" s="488"/>
      <c r="V85" s="488"/>
      <c r="W85" s="461"/>
      <c r="X85" s="461"/>
      <c r="Y85" s="461"/>
      <c r="Z85" s="488"/>
      <c r="AA85" s="461"/>
      <c r="AB85" s="461"/>
      <c r="AC85" s="461"/>
      <c r="AD85" s="461"/>
      <c r="AE85" s="461"/>
      <c r="AF85" s="461"/>
      <c r="AG85" s="461"/>
      <c r="AH85" s="461"/>
      <c r="AI85" s="461"/>
    </row>
    <row r="86" spans="1:35">
      <c r="A86" s="455">
        <v>1979</v>
      </c>
      <c r="B86" s="436">
        <f>('Brd Tbl'!V$62-'Brd Tbl'!V26)/'Brd Tbl'!V$62</f>
        <v>-0.29016103677260996</v>
      </c>
      <c r="C86" s="461"/>
      <c r="D86" s="436">
        <f t="shared" si="20"/>
        <v>0.46065950505284997</v>
      </c>
      <c r="E86" s="461"/>
      <c r="F86" s="461"/>
      <c r="G86" s="489"/>
      <c r="H86" s="461"/>
      <c r="I86" s="464"/>
      <c r="J86" s="489"/>
      <c r="K86" s="461"/>
      <c r="L86" s="461"/>
      <c r="M86" s="497"/>
      <c r="N86" s="461"/>
      <c r="O86" s="497"/>
      <c r="P86" s="489"/>
      <c r="Q86" s="461"/>
      <c r="R86" s="461"/>
      <c r="S86" s="461"/>
      <c r="T86" s="461"/>
      <c r="U86" s="488"/>
      <c r="V86" s="488"/>
      <c r="W86" s="461"/>
      <c r="X86" s="461"/>
      <c r="Y86" s="461"/>
      <c r="Z86" s="488"/>
      <c r="AA86" s="461"/>
      <c r="AB86" s="461"/>
      <c r="AC86" s="461"/>
      <c r="AD86" s="461"/>
      <c r="AE86" s="461"/>
      <c r="AF86" s="461"/>
      <c r="AG86" s="461"/>
      <c r="AH86" s="461"/>
      <c r="AI86" s="461"/>
    </row>
    <row r="87" spans="1:35">
      <c r="A87" s="455">
        <v>1980</v>
      </c>
      <c r="B87" s="436">
        <f>('Brd Tbl'!V$62-'Brd Tbl'!V27)/'Brd Tbl'!V$62</f>
        <v>5.4216257707650747E-2</v>
      </c>
      <c r="C87" s="461"/>
      <c r="D87" s="436">
        <f t="shared" si="20"/>
        <v>-0.23713452505719118</v>
      </c>
      <c r="E87" s="461"/>
      <c r="F87" s="461"/>
      <c r="G87" s="489"/>
      <c r="H87" s="461"/>
      <c r="I87" s="464"/>
      <c r="J87" s="489"/>
      <c r="K87" s="461"/>
      <c r="L87" s="461"/>
      <c r="M87" s="497"/>
      <c r="N87" s="461"/>
      <c r="O87" s="497"/>
      <c r="P87" s="489"/>
      <c r="Q87" s="461"/>
      <c r="R87" s="461"/>
      <c r="S87" s="461"/>
      <c r="T87" s="461"/>
      <c r="U87" s="488"/>
      <c r="V87" s="488"/>
      <c r="W87" s="461"/>
      <c r="X87" s="461"/>
      <c r="Y87" s="461"/>
      <c r="Z87" s="488"/>
      <c r="AA87" s="461"/>
      <c r="AB87" s="461"/>
      <c r="AC87" s="461"/>
      <c r="AD87" s="461"/>
      <c r="AE87" s="461"/>
      <c r="AF87" s="461"/>
      <c r="AG87" s="461"/>
      <c r="AH87" s="461"/>
      <c r="AI87" s="461"/>
    </row>
    <row r="88" spans="1:35">
      <c r="A88" s="455">
        <v>1981</v>
      </c>
      <c r="B88" s="436">
        <f>('Brd Tbl'!V$62-'Brd Tbl'!V28)/'Brd Tbl'!V$62</f>
        <v>0.33907171111945839</v>
      </c>
      <c r="C88" s="461"/>
      <c r="D88" s="436">
        <f t="shared" si="20"/>
        <v>-1.0931768757087781</v>
      </c>
      <c r="E88" s="461"/>
      <c r="F88" s="461"/>
      <c r="G88" s="489"/>
      <c r="H88" s="461"/>
      <c r="I88" s="464"/>
      <c r="J88" s="489"/>
      <c r="K88" s="461"/>
      <c r="L88" s="461"/>
      <c r="M88" s="497"/>
      <c r="N88" s="461"/>
      <c r="O88" s="497"/>
      <c r="P88" s="489"/>
      <c r="Q88" s="461"/>
      <c r="R88" s="461"/>
      <c r="S88" s="461"/>
      <c r="T88" s="461"/>
      <c r="U88" s="488"/>
      <c r="V88" s="488"/>
      <c r="W88" s="461"/>
      <c r="X88" s="461"/>
      <c r="Y88" s="461"/>
      <c r="Z88" s="488"/>
      <c r="AA88" s="461"/>
      <c r="AB88" s="461"/>
      <c r="AC88" s="461"/>
      <c r="AD88" s="461"/>
      <c r="AE88" s="461"/>
      <c r="AF88" s="461"/>
      <c r="AG88" s="461"/>
      <c r="AH88" s="461"/>
      <c r="AI88" s="461"/>
    </row>
    <row r="89" spans="1:35">
      <c r="A89" s="455">
        <v>1982</v>
      </c>
      <c r="B89" s="436">
        <f>('Brd Tbl'!V$62-'Brd Tbl'!V29)/'Brd Tbl'!V$62</f>
        <v>-0.23281890075943001</v>
      </c>
      <c r="C89" s="461"/>
      <c r="D89" s="436">
        <f t="shared" si="20"/>
        <v>0.13810639008291337</v>
      </c>
      <c r="E89" s="461"/>
      <c r="F89" s="461"/>
      <c r="G89" s="489"/>
      <c r="H89" s="461"/>
      <c r="I89" s="464"/>
      <c r="J89" s="489"/>
      <c r="K89" s="461"/>
      <c r="L89" s="461"/>
      <c r="M89" s="497"/>
      <c r="N89" s="461"/>
      <c r="O89" s="497"/>
      <c r="P89" s="489"/>
      <c r="Q89" s="461"/>
      <c r="R89" s="461"/>
      <c r="S89" s="461"/>
      <c r="T89" s="461"/>
      <c r="U89" s="488"/>
      <c r="V89" s="488"/>
      <c r="W89" s="461"/>
      <c r="X89" s="461"/>
      <c r="Y89" s="461"/>
      <c r="Z89" s="488"/>
      <c r="AA89" s="461"/>
      <c r="AB89" s="461"/>
      <c r="AC89" s="461"/>
      <c r="AD89" s="461"/>
      <c r="AE89" s="461"/>
      <c r="AF89" s="461"/>
      <c r="AG89" s="461"/>
      <c r="AH89" s="461"/>
      <c r="AI89" s="461"/>
    </row>
    <row r="90" spans="1:35">
      <c r="A90" s="455">
        <v>1983</v>
      </c>
      <c r="B90" s="436">
        <f>('Brd Tbl'!V$62-'Brd Tbl'!V30)/'Brd Tbl'!V$62</f>
        <v>0.51372507563346992</v>
      </c>
      <c r="C90" s="461"/>
      <c r="D90" s="436">
        <f t="shared" si="20"/>
        <v>-1.355076077855645</v>
      </c>
      <c r="E90" s="461"/>
      <c r="F90" s="461"/>
      <c r="G90" s="461"/>
      <c r="H90" s="461"/>
      <c r="I90" s="461"/>
      <c r="J90" s="461"/>
      <c r="K90" s="461"/>
      <c r="L90" s="461"/>
      <c r="M90" s="497"/>
      <c r="N90" s="461"/>
      <c r="O90" s="461"/>
      <c r="P90" s="461"/>
      <c r="Q90" s="461"/>
      <c r="R90" s="461"/>
      <c r="S90" s="461"/>
      <c r="T90" s="461"/>
      <c r="U90" s="461"/>
      <c r="V90" s="488"/>
      <c r="W90" s="461"/>
      <c r="X90" s="461"/>
      <c r="Y90" s="461"/>
      <c r="Z90" s="461"/>
      <c r="AA90" s="461"/>
      <c r="AB90" s="461"/>
      <c r="AC90" s="461"/>
      <c r="AD90" s="461"/>
      <c r="AE90" s="461"/>
      <c r="AF90" s="461"/>
      <c r="AG90" s="461"/>
      <c r="AH90" s="461"/>
      <c r="AI90" s="461"/>
    </row>
    <row r="91" spans="1:35">
      <c r="A91" s="455">
        <v>1984</v>
      </c>
      <c r="B91" s="436">
        <f>('Brd Tbl'!V$62-'Brd Tbl'!V31)/'Brd Tbl'!V$62</f>
        <v>8.2532306608867317E-2</v>
      </c>
      <c r="C91" s="461"/>
      <c r="D91" s="436">
        <f t="shared" si="20"/>
        <v>-0.73065827664361938</v>
      </c>
      <c r="E91" s="461"/>
      <c r="F91" s="461"/>
      <c r="G91" s="461"/>
      <c r="H91" s="461"/>
      <c r="I91" s="461"/>
      <c r="J91" s="461"/>
      <c r="K91" s="461"/>
      <c r="L91" s="461"/>
      <c r="M91" s="497"/>
      <c r="N91" s="461"/>
      <c r="O91" s="461"/>
      <c r="P91" s="461"/>
      <c r="Q91" s="461"/>
      <c r="R91" s="461"/>
      <c r="S91" s="461"/>
      <c r="T91" s="461"/>
      <c r="U91" s="461"/>
      <c r="V91" s="488"/>
      <c r="W91" s="461"/>
      <c r="X91" s="461"/>
      <c r="Y91" s="461"/>
      <c r="Z91" s="461"/>
      <c r="AA91" s="461"/>
      <c r="AB91" s="461"/>
      <c r="AC91" s="461"/>
      <c r="AD91" s="461"/>
      <c r="AE91" s="461"/>
      <c r="AF91" s="461"/>
      <c r="AG91" s="461"/>
      <c r="AH91" s="461"/>
      <c r="AI91" s="461"/>
    </row>
    <row r="92" spans="1:35">
      <c r="A92" s="455">
        <v>1985</v>
      </c>
      <c r="B92" s="436">
        <f>('Brd Tbl'!V$62-'Brd Tbl'!V32)/'Brd Tbl'!V$62</f>
        <v>0.41903204215145967</v>
      </c>
      <c r="C92" s="461"/>
      <c r="D92" s="436">
        <f t="shared" si="20"/>
        <v>-1.0058260364533365</v>
      </c>
      <c r="E92" s="461"/>
      <c r="F92" s="461"/>
      <c r="G92" s="461"/>
      <c r="H92" s="461"/>
      <c r="I92" s="461"/>
      <c r="J92" s="461"/>
      <c r="K92" s="461"/>
      <c r="L92" s="461"/>
      <c r="M92" s="497"/>
      <c r="N92" s="461"/>
      <c r="O92" s="461"/>
      <c r="P92" s="461"/>
      <c r="Q92" s="461"/>
      <c r="R92" s="461"/>
      <c r="S92" s="461"/>
      <c r="T92" s="461"/>
      <c r="U92" s="461"/>
      <c r="V92" s="488"/>
      <c r="W92" s="461"/>
      <c r="X92" s="461"/>
      <c r="Y92" s="461"/>
      <c r="Z92" s="461"/>
      <c r="AA92" s="461"/>
      <c r="AB92" s="461"/>
      <c r="AC92" s="461"/>
      <c r="AD92" s="461"/>
      <c r="AE92" s="461"/>
      <c r="AF92" s="461"/>
      <c r="AG92" s="461"/>
      <c r="AH92" s="461"/>
      <c r="AI92" s="461"/>
    </row>
    <row r="93" spans="1:35">
      <c r="A93" s="455">
        <v>1986</v>
      </c>
      <c r="B93" s="436">
        <f>('Brd Tbl'!V$62-'Brd Tbl'!V33)/'Brd Tbl'!V$62</f>
        <v>-0.17057872827338039</v>
      </c>
      <c r="C93" s="461"/>
      <c r="D93" s="436">
        <f t="shared" si="20"/>
        <v>0.31050517216927687</v>
      </c>
      <c r="E93" s="461"/>
      <c r="F93" s="461"/>
      <c r="G93" s="461"/>
      <c r="H93" s="461"/>
      <c r="I93" s="461"/>
      <c r="J93" s="461"/>
      <c r="K93" s="461"/>
      <c r="L93" s="461"/>
      <c r="M93" s="497"/>
      <c r="N93" s="461"/>
      <c r="O93" s="461"/>
      <c r="P93" s="461"/>
      <c r="Q93" s="461"/>
      <c r="R93" s="461"/>
      <c r="S93" s="461"/>
      <c r="T93" s="461"/>
      <c r="U93" s="461"/>
      <c r="V93" s="488"/>
      <c r="W93" s="461"/>
      <c r="X93" s="461"/>
      <c r="Y93" s="461"/>
      <c r="Z93" s="461"/>
      <c r="AA93" s="461"/>
      <c r="AB93" s="461"/>
      <c r="AC93" s="461"/>
      <c r="AD93" s="461"/>
      <c r="AE93" s="461"/>
      <c r="AF93" s="461"/>
      <c r="AG93" s="461"/>
      <c r="AH93" s="461"/>
      <c r="AI93" s="461"/>
    </row>
    <row r="94" spans="1:35">
      <c r="A94" s="455">
        <v>1987</v>
      </c>
      <c r="B94" s="436">
        <f>('Brd Tbl'!V$62-'Brd Tbl'!V34)/'Brd Tbl'!V$62</f>
        <v>2.6058215859656553E-2</v>
      </c>
      <c r="C94" s="461"/>
      <c r="D94" s="436">
        <f t="shared" si="20"/>
        <v>6.731505772693791E-2</v>
      </c>
      <c r="E94" s="461"/>
      <c r="F94" s="461"/>
      <c r="G94" s="461"/>
      <c r="H94" s="461"/>
      <c r="I94" s="461"/>
      <c r="J94" s="461"/>
      <c r="K94" s="461"/>
      <c r="L94" s="461"/>
      <c r="M94" s="497"/>
      <c r="N94" s="461"/>
      <c r="O94" s="461"/>
      <c r="P94" s="461"/>
      <c r="Q94" s="461"/>
      <c r="R94" s="461"/>
      <c r="S94" s="461"/>
      <c r="T94" s="461"/>
      <c r="U94" s="461"/>
      <c r="V94" s="488"/>
      <c r="W94" s="461"/>
      <c r="X94" s="461"/>
      <c r="Y94" s="461"/>
      <c r="Z94" s="461"/>
      <c r="AA94" s="461"/>
      <c r="AB94" s="461"/>
      <c r="AC94" s="461"/>
      <c r="AD94" s="461"/>
      <c r="AE94" s="461"/>
      <c r="AF94" s="461"/>
      <c r="AG94" s="461"/>
      <c r="AH94" s="461"/>
      <c r="AI94" s="461"/>
    </row>
    <row r="95" spans="1:35">
      <c r="A95" s="455">
        <v>1988</v>
      </c>
      <c r="B95" s="436">
        <f>('Brd Tbl'!V$62-'Brd Tbl'!V35)/'Brd Tbl'!V$62</f>
        <v>-0.20462021423096668</v>
      </c>
      <c r="C95" s="461"/>
      <c r="D95" s="436">
        <f t="shared" si="20"/>
        <v>0.39717411793723406</v>
      </c>
      <c r="E95" s="461"/>
      <c r="F95" s="461"/>
      <c r="G95" s="461"/>
      <c r="H95" s="461"/>
      <c r="I95" s="461"/>
      <c r="J95" s="461"/>
      <c r="K95" s="461"/>
      <c r="L95" s="461"/>
      <c r="M95" s="497"/>
      <c r="N95" s="461"/>
      <c r="O95" s="461"/>
      <c r="P95" s="461"/>
      <c r="Q95" s="461"/>
      <c r="R95" s="461"/>
      <c r="S95" s="461"/>
      <c r="T95" s="461"/>
      <c r="U95" s="461"/>
      <c r="V95" s="488"/>
      <c r="W95" s="461"/>
      <c r="X95" s="461"/>
      <c r="Y95" s="461"/>
      <c r="Z95" s="461"/>
      <c r="AA95" s="461"/>
      <c r="AB95" s="461"/>
      <c r="AC95" s="461"/>
      <c r="AD95" s="461"/>
      <c r="AE95" s="461"/>
      <c r="AF95" s="461"/>
      <c r="AG95" s="461"/>
      <c r="AH95" s="461"/>
      <c r="AI95" s="461"/>
    </row>
    <row r="96" spans="1:35">
      <c r="A96" s="455">
        <v>1989</v>
      </c>
      <c r="B96" s="436">
        <f>('Brd Tbl'!V$62-'Brd Tbl'!V36)/'Brd Tbl'!V$62</f>
        <v>-0.20696707037928971</v>
      </c>
      <c r="C96" s="461"/>
      <c r="D96" s="436">
        <f t="shared" si="20"/>
        <v>0.17518038827033694</v>
      </c>
      <c r="E96" s="461"/>
      <c r="F96" s="461"/>
      <c r="G96" s="461"/>
      <c r="H96" s="461"/>
      <c r="I96" s="461"/>
      <c r="J96" s="461"/>
      <c r="K96" s="461"/>
      <c r="L96" s="461"/>
      <c r="M96" s="497"/>
      <c r="N96" s="461"/>
      <c r="O96" s="461"/>
      <c r="P96" s="461"/>
      <c r="Q96" s="461"/>
      <c r="R96" s="461"/>
      <c r="S96" s="461"/>
      <c r="T96" s="461"/>
      <c r="U96" s="461"/>
      <c r="V96" s="488"/>
      <c r="W96" s="461"/>
      <c r="X96" s="461"/>
      <c r="Y96" s="461"/>
      <c r="Z96" s="461"/>
      <c r="AA96" s="461"/>
      <c r="AB96" s="461"/>
      <c r="AC96" s="461"/>
      <c r="AD96" s="461"/>
      <c r="AE96" s="461"/>
      <c r="AF96" s="461"/>
      <c r="AG96" s="461"/>
      <c r="AH96" s="461"/>
      <c r="AI96" s="461"/>
    </row>
    <row r="97" spans="1:35">
      <c r="A97" s="455">
        <v>1990</v>
      </c>
      <c r="B97" s="436">
        <f>('Brd Tbl'!V$62-'Brd Tbl'!V37)/'Brd Tbl'!V$62</f>
        <v>3.9631968791498516E-2</v>
      </c>
      <c r="C97" s="461"/>
      <c r="D97" s="436">
        <f t="shared" si="20"/>
        <v>-0.23948438882935616</v>
      </c>
      <c r="E97" s="461"/>
      <c r="F97" s="461"/>
      <c r="G97" s="461"/>
      <c r="H97" s="461"/>
      <c r="I97" s="461"/>
      <c r="J97" s="461"/>
      <c r="K97" s="461"/>
      <c r="L97" s="461"/>
      <c r="M97" s="497"/>
      <c r="N97" s="461"/>
      <c r="O97" s="461"/>
      <c r="P97" s="461"/>
      <c r="Q97" s="461"/>
      <c r="R97" s="461"/>
      <c r="S97" s="461"/>
      <c r="T97" s="461"/>
      <c r="U97" s="461"/>
      <c r="V97" s="488"/>
      <c r="W97" s="461"/>
      <c r="X97" s="461"/>
      <c r="Y97" s="461"/>
      <c r="Z97" s="461"/>
      <c r="AA97" s="461"/>
      <c r="AB97" s="461"/>
      <c r="AC97" s="461"/>
      <c r="AD97" s="461"/>
      <c r="AE97" s="461"/>
      <c r="AF97" s="461"/>
      <c r="AG97" s="461"/>
      <c r="AH97" s="461"/>
      <c r="AI97" s="461"/>
    </row>
    <row r="98" spans="1:35">
      <c r="A98" s="455">
        <v>1991</v>
      </c>
      <c r="B98" s="436">
        <f>('Brd Tbl'!V$62-'Brd Tbl'!V38)/'Brd Tbl'!V$62</f>
        <v>-0.8016912564597013</v>
      </c>
      <c r="C98" s="461"/>
      <c r="D98" s="436">
        <f t="shared" si="20"/>
        <v>0.77613090899219928</v>
      </c>
      <c r="E98" s="461"/>
      <c r="F98" s="461"/>
      <c r="G98" s="461"/>
      <c r="H98" s="461"/>
      <c r="I98" s="461"/>
      <c r="J98" s="461"/>
      <c r="K98" s="461"/>
      <c r="L98" s="461"/>
      <c r="M98" s="497"/>
      <c r="N98" s="461"/>
      <c r="O98" s="461"/>
      <c r="P98" s="461"/>
      <c r="Q98" s="461"/>
      <c r="R98" s="461"/>
      <c r="S98" s="461"/>
      <c r="T98" s="461"/>
      <c r="U98" s="461"/>
      <c r="V98" s="488"/>
      <c r="W98" s="461"/>
      <c r="X98" s="461"/>
      <c r="Y98" s="461"/>
      <c r="Z98" s="461"/>
      <c r="AA98" s="461"/>
      <c r="AB98" s="461"/>
      <c r="AC98" s="461"/>
      <c r="AD98" s="461"/>
      <c r="AE98" s="461"/>
      <c r="AF98" s="461"/>
      <c r="AG98" s="461"/>
      <c r="AH98" s="461"/>
      <c r="AI98" s="461"/>
    </row>
  </sheetData>
  <sortState ref="A13:AE60">
    <sortCondition ref="B13"/>
  </sortState>
  <phoneticPr fontId="60" type="noConversion"/>
  <pageMargins left="0.55000000000000004" right="0.50800000000000001" top="0.5" bottom="1" header="0.5" footer="0.5"/>
  <pageSetup scale="37" orientation="portrait" horizontalDpi="300" verticalDpi="300" r:id="rId1"/>
  <headerFooter alignWithMargins="0"/>
  <drawing r:id="rId2"/>
  <legacyDrawing r:id="rId3"/>
  <controls>
    <mc:AlternateContent xmlns:mc="http://schemas.openxmlformats.org/markup-compatibility/2006">
      <mc:Choice Requires="x14">
        <control shapeId="7183" r:id="rId4" name="CommandButton1">
          <controlPr defaultSize="0" autoLine="0" r:id="rId5">
            <anchor moveWithCells="1">
              <from>
                <xdr:col>8</xdr:col>
                <xdr:colOff>457200</xdr:colOff>
                <xdr:row>2</xdr:row>
                <xdr:rowOff>0</xdr:rowOff>
              </from>
              <to>
                <xdr:col>12</xdr:col>
                <xdr:colOff>542925</xdr:colOff>
                <xdr:row>6</xdr:row>
                <xdr:rowOff>28575</xdr:rowOff>
              </to>
            </anchor>
          </controlPr>
        </control>
      </mc:Choice>
      <mc:Fallback>
        <control shapeId="7183" r:id="rId4" name="CommandButton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11"/>
  <dimension ref="A1:AI97"/>
  <sheetViews>
    <sheetView topLeftCell="S1" zoomScale="75" workbookViewId="0">
      <pane ySplit="11" topLeftCell="A14" activePane="bottomLeft" state="frozen"/>
      <selection activeCell="W48" sqref="W48"/>
      <selection pane="bottomLeft" activeCell="AL42" sqref="AL42"/>
    </sheetView>
  </sheetViews>
  <sheetFormatPr defaultColWidth="9.6640625" defaultRowHeight="15"/>
  <cols>
    <col min="1" max="1" width="5.77734375" customWidth="1"/>
    <col min="2" max="2" width="6.6640625" customWidth="1"/>
    <col min="5" max="5" width="4" customWidth="1"/>
    <col min="6" max="6" width="4.33203125" customWidth="1"/>
    <col min="7" max="7" width="8.6640625" style="127" customWidth="1"/>
    <col min="8" max="8" width="10.88671875" customWidth="1"/>
    <col min="9" max="9" width="13" customWidth="1"/>
    <col min="10" max="12" width="7.6640625" customWidth="1"/>
    <col min="13" max="13" width="9.6640625" style="10"/>
    <col min="14" max="14" width="11.88671875" customWidth="1"/>
    <col min="15" max="15" width="14.5546875" customWidth="1"/>
    <col min="16" max="16" width="9.88671875" customWidth="1"/>
    <col min="19" max="20" width="10.44140625" customWidth="1"/>
    <col min="21" max="21" width="11.21875" customWidth="1"/>
    <col min="22" max="22" width="10.21875" customWidth="1"/>
    <col min="23" max="23" width="11.44140625" customWidth="1"/>
    <col min="24" max="25" width="9.77734375" customWidth="1"/>
  </cols>
  <sheetData>
    <row r="1" spans="1:32">
      <c r="A1" t="s">
        <v>0</v>
      </c>
      <c r="B1" s="440" t="str">
        <f ca="1">CELL("filename",B2)</f>
        <v>O:\DCF\SALMON\FORECAST\2015\[2015_Copper River Wild Sockeye forecast_FINAL.xlsm]ln13xln12</v>
      </c>
      <c r="G1" t="s">
        <v>206</v>
      </c>
      <c r="H1" s="127"/>
    </row>
    <row r="2" spans="1:32">
      <c r="G2" s="148" t="s">
        <v>154</v>
      </c>
      <c r="H2" s="149" t="s">
        <v>198</v>
      </c>
    </row>
    <row r="3" spans="1:32">
      <c r="G3" s="148" t="s">
        <v>155</v>
      </c>
      <c r="H3" s="149" t="s">
        <v>207</v>
      </c>
    </row>
    <row r="4" spans="1:32">
      <c r="G4" s="54" t="s">
        <v>252</v>
      </c>
      <c r="H4" s="13">
        <v>5</v>
      </c>
    </row>
    <row r="5" spans="1:32">
      <c r="B5" s="13"/>
    </row>
    <row r="6" spans="1:32">
      <c r="B6" s="13"/>
      <c r="S6" s="653"/>
    </row>
    <row r="8" spans="1:32">
      <c r="AA8" t="s">
        <v>156</v>
      </c>
    </row>
    <row r="9" spans="1:32">
      <c r="A9" s="123"/>
      <c r="B9" s="123"/>
      <c r="C9" s="121" t="s">
        <v>157</v>
      </c>
      <c r="D9" s="126"/>
      <c r="E9" s="121"/>
      <c r="F9" s="119"/>
      <c r="G9" s="152"/>
      <c r="H9" s="119" t="s">
        <v>158</v>
      </c>
      <c r="I9" s="119"/>
      <c r="J9" s="119"/>
      <c r="K9" s="119"/>
      <c r="L9" s="119"/>
      <c r="M9" s="187"/>
      <c r="N9" s="121" t="s">
        <v>159</v>
      </c>
      <c r="O9" s="119"/>
      <c r="P9" s="119"/>
      <c r="Q9" s="119"/>
      <c r="R9" s="126"/>
      <c r="S9" s="121" t="s">
        <v>160</v>
      </c>
      <c r="T9" s="119"/>
      <c r="U9" s="119"/>
      <c r="V9" s="119"/>
      <c r="W9" s="126"/>
      <c r="X9" s="122" t="s">
        <v>109</v>
      </c>
      <c r="Y9" s="415" t="s">
        <v>329</v>
      </c>
      <c r="Z9" s="164" t="s">
        <v>161</v>
      </c>
      <c r="AA9" s="164" t="s">
        <v>162</v>
      </c>
      <c r="AB9" s="164" t="s">
        <v>163</v>
      </c>
      <c r="AC9" s="164" t="s">
        <v>164</v>
      </c>
      <c r="AD9" s="158" t="s">
        <v>25</v>
      </c>
      <c r="AE9" s="159"/>
    </row>
    <row r="10" spans="1:32">
      <c r="A10" s="100" t="s">
        <v>23</v>
      </c>
      <c r="B10" s="100" t="s">
        <v>29</v>
      </c>
      <c r="C10" s="209" t="s">
        <v>165</v>
      </c>
      <c r="D10" s="209" t="s">
        <v>166</v>
      </c>
      <c r="E10" s="123"/>
      <c r="F10" s="123"/>
      <c r="G10" s="133"/>
      <c r="H10" s="123"/>
      <c r="I10" s="209" t="s">
        <v>167</v>
      </c>
      <c r="J10" s="209" t="s">
        <v>168</v>
      </c>
      <c r="K10" s="209" t="s">
        <v>167</v>
      </c>
      <c r="L10" s="123"/>
      <c r="M10" s="223" t="s">
        <v>169</v>
      </c>
      <c r="N10" s="123"/>
      <c r="O10" s="123"/>
      <c r="P10" s="122" t="s">
        <v>24</v>
      </c>
      <c r="Q10" s="122" t="s">
        <v>170</v>
      </c>
      <c r="R10" s="122" t="s">
        <v>171</v>
      </c>
      <c r="S10" s="123"/>
      <c r="T10" s="123"/>
      <c r="U10" s="122" t="s">
        <v>24</v>
      </c>
      <c r="V10" s="122" t="s">
        <v>170</v>
      </c>
      <c r="W10" s="122" t="s">
        <v>171</v>
      </c>
      <c r="X10" s="100" t="s">
        <v>115</v>
      </c>
      <c r="Y10" s="416" t="s">
        <v>323</v>
      </c>
      <c r="Z10" s="139"/>
      <c r="AA10" s="122" t="s">
        <v>172</v>
      </c>
      <c r="AB10" s="122" t="s">
        <v>112</v>
      </c>
      <c r="AC10" s="122" t="s">
        <v>29</v>
      </c>
      <c r="AD10" s="164" t="s">
        <v>173</v>
      </c>
      <c r="AE10" s="164" t="s">
        <v>174</v>
      </c>
    </row>
    <row r="11" spans="1:32" ht="16.899999999999999" customHeight="1">
      <c r="A11" s="125" t="s">
        <v>27</v>
      </c>
      <c r="B11" s="125" t="s">
        <v>27</v>
      </c>
      <c r="C11" s="163" t="s">
        <v>161</v>
      </c>
      <c r="D11" s="214" t="s">
        <v>240</v>
      </c>
      <c r="E11" s="188" t="s">
        <v>175</v>
      </c>
      <c r="F11" s="188" t="s">
        <v>176</v>
      </c>
      <c r="G11" s="214" t="s">
        <v>152</v>
      </c>
      <c r="H11" s="215" t="s">
        <v>177</v>
      </c>
      <c r="I11" s="216" t="s">
        <v>177</v>
      </c>
      <c r="J11" s="214" t="s">
        <v>239</v>
      </c>
      <c r="K11" s="188" t="s">
        <v>168</v>
      </c>
      <c r="L11" s="188" t="s">
        <v>241</v>
      </c>
      <c r="M11" s="217" t="s">
        <v>178</v>
      </c>
      <c r="N11" s="188" t="s">
        <v>242</v>
      </c>
      <c r="O11" s="217" t="s">
        <v>243</v>
      </c>
      <c r="P11" s="214" t="s">
        <v>239</v>
      </c>
      <c r="Q11" s="188" t="s">
        <v>244</v>
      </c>
      <c r="R11" s="188" t="s">
        <v>244</v>
      </c>
      <c r="S11" s="188" t="s">
        <v>242</v>
      </c>
      <c r="T11" s="217" t="s">
        <v>243</v>
      </c>
      <c r="U11" s="214" t="s">
        <v>239</v>
      </c>
      <c r="V11" s="188" t="s">
        <v>244</v>
      </c>
      <c r="W11" s="188" t="s">
        <v>244</v>
      </c>
      <c r="X11" s="234" t="s">
        <v>245</v>
      </c>
      <c r="Y11" s="554" t="s">
        <v>115</v>
      </c>
      <c r="Z11" s="125" t="s">
        <v>200</v>
      </c>
      <c r="AA11" s="125" t="s">
        <v>179</v>
      </c>
      <c r="AB11" s="125" t="s">
        <v>179</v>
      </c>
      <c r="AC11" s="125" t="s">
        <v>27</v>
      </c>
      <c r="AD11" s="164" t="s">
        <v>170</v>
      </c>
      <c r="AE11" s="164" t="s">
        <v>171</v>
      </c>
      <c r="AF11" s="164" t="s">
        <v>111</v>
      </c>
    </row>
    <row r="12" spans="1:32">
      <c r="A12" s="36"/>
      <c r="B12" s="31"/>
      <c r="C12" s="31"/>
      <c r="D12" s="31"/>
      <c r="E12" s="31"/>
      <c r="F12" s="31"/>
      <c r="G12" s="131"/>
      <c r="H12" s="31"/>
      <c r="I12" s="31"/>
      <c r="J12" s="31"/>
      <c r="K12" s="31"/>
      <c r="L12" s="31"/>
      <c r="M12" s="145"/>
      <c r="N12" s="31"/>
      <c r="O12" s="31"/>
      <c r="P12" s="31"/>
      <c r="Q12" s="31"/>
      <c r="R12" s="31"/>
      <c r="S12" s="31"/>
      <c r="T12" s="31"/>
      <c r="U12" s="31"/>
      <c r="V12" s="31"/>
      <c r="W12" s="31"/>
      <c r="X12" s="46"/>
      <c r="Y12" s="46"/>
      <c r="Z12" s="123"/>
      <c r="AA12" s="123"/>
      <c r="AB12" s="123"/>
      <c r="AC12" s="123"/>
      <c r="AD12" s="36"/>
      <c r="AE12" s="46"/>
    </row>
    <row r="13" spans="1:32">
      <c r="A13" s="134">
        <v>1962</v>
      </c>
      <c r="B13" s="440">
        <f t="shared" ref="B13:B60" si="0">A13+$H$4</f>
        <v>1967</v>
      </c>
      <c r="C13" s="458">
        <f>VLOOKUP($A13,'Brd Tbl'!$A$8:$AX$64,17)</f>
        <v>11.536658238263195</v>
      </c>
      <c r="D13" s="458">
        <f>VLOOKUP($A13,'Brd Tbl'!$A$8:$AX$64,23)</f>
        <v>13.237120983130074</v>
      </c>
      <c r="E13" s="7">
        <v>47</v>
      </c>
      <c r="F13" s="7">
        <v>45</v>
      </c>
      <c r="G13" s="576">
        <v>7.6760696234752599</v>
      </c>
      <c r="H13" s="576">
        <v>0.50186251054403619</v>
      </c>
      <c r="I13" s="577">
        <v>7.7725895945746762E-2</v>
      </c>
      <c r="J13" s="7">
        <v>13.465885890218566</v>
      </c>
      <c r="K13" s="7">
        <v>0.35319504193455908</v>
      </c>
      <c r="L13" s="7">
        <v>0.48091251581534189</v>
      </c>
      <c r="M13" s="576">
        <v>0.13323287479827317</v>
      </c>
      <c r="N13" s="440">
        <f t="shared" ref="N13:N60" si="1">D13-J13</f>
        <v>-0.2287649070884914</v>
      </c>
      <c r="O13" s="440">
        <f t="shared" ref="O13:O60" si="2">N13^2</f>
        <v>5.23333827152061E-2</v>
      </c>
      <c r="P13" s="465">
        <f t="shared" ref="P13:P59" si="3">J13</f>
        <v>13.465885890218566</v>
      </c>
      <c r="Q13" s="440">
        <f t="shared" ref="Q13:Q39" si="4">$P13-SQRT($O$64)*$Q$64</f>
        <v>12.989125559083316</v>
      </c>
      <c r="R13" s="440">
        <f t="shared" ref="R13:R60" si="5">$P13+SQRT($O$64)*$Q$64</f>
        <v>13.942646221353815</v>
      </c>
      <c r="S13" s="466">
        <f t="shared" ref="S13:S59" si="6">EXP(D13)-U13</f>
        <v>-144151.86411573272</v>
      </c>
      <c r="T13" s="440">
        <f t="shared" ref="T13:T60" si="7">S13^2</f>
        <v>20779759928.040672</v>
      </c>
      <c r="U13" s="466">
        <f t="shared" ref="U13:U60" si="8">EXP(P13)</f>
        <v>704952.63153043168</v>
      </c>
      <c r="V13" s="467">
        <f t="shared" ref="V13:V60" si="9">EXP(Q13)</f>
        <v>437628.45761279011</v>
      </c>
      <c r="W13" s="467">
        <f t="shared" ref="W13:W60" si="10">EXP(R13)</f>
        <v>1135571.0627515563</v>
      </c>
      <c r="X13" s="468">
        <f t="shared" ref="X13:X60" si="11">(+U13-EXP(D13))/(EXP(D13))</f>
        <v>0.2570464815522191</v>
      </c>
      <c r="Y13" s="553">
        <f t="shared" ref="Y13:Y60" si="12">ABS(X13)</f>
        <v>0.2570464815522191</v>
      </c>
      <c r="Z13" s="517">
        <f t="shared" ref="Z13:Z60" si="13">C13</f>
        <v>11.536658238263195</v>
      </c>
      <c r="AA13" s="471">
        <f t="shared" ref="AA13:AA60" si="14">(+G$62+H$62*C13)</f>
        <v>13.456045314260127</v>
      </c>
      <c r="AB13" s="473">
        <f t="shared" ref="AB13:AB60" si="15">D13</f>
        <v>13.237120983130074</v>
      </c>
      <c r="AC13" s="801">
        <f t="shared" ref="AC13:AC45" si="16">B13-1900</f>
        <v>67</v>
      </c>
      <c r="AD13" s="435">
        <f t="shared" ref="AD13:AD60" si="17">AA13-SQRT($O$64)*$Q$64</f>
        <v>12.979284983124877</v>
      </c>
      <c r="AE13" s="441">
        <f t="shared" ref="AE13:AE60" si="18">AA13+SQRT($O$64)*$Q$64</f>
        <v>13.932805645395376</v>
      </c>
    </row>
    <row r="14" spans="1:32">
      <c r="A14" s="134">
        <v>1963</v>
      </c>
      <c r="B14" s="440">
        <f t="shared" si="0"/>
        <v>1968</v>
      </c>
      <c r="C14" s="458">
        <f>VLOOKUP($A14,'Brd Tbl'!$A$8:$AX$64,17)</f>
        <v>11.488555614200711</v>
      </c>
      <c r="D14" s="458">
        <f>VLOOKUP($A14,'Brd Tbl'!$A$8:$AX$64,23)</f>
        <v>13.106071709770401</v>
      </c>
      <c r="E14" s="7">
        <v>47</v>
      </c>
      <c r="F14" s="7">
        <v>45</v>
      </c>
      <c r="G14" s="576">
        <v>7.732455848161</v>
      </c>
      <c r="H14" s="576">
        <v>0.49744048869243684</v>
      </c>
      <c r="I14" s="577">
        <v>7.7433176187541128E-2</v>
      </c>
      <c r="J14" s="7">
        <v>13.447328567259241</v>
      </c>
      <c r="K14" s="7">
        <v>0.35127116577772044</v>
      </c>
      <c r="L14" s="7">
        <v>0.4783781739275984</v>
      </c>
      <c r="M14" s="576">
        <v>0.13186855862661459</v>
      </c>
      <c r="N14" s="487">
        <f t="shared" si="1"/>
        <v>-0.34125685748884038</v>
      </c>
      <c r="O14" s="440">
        <f t="shared" si="2"/>
        <v>0.11645624278315872</v>
      </c>
      <c r="P14" s="465">
        <f t="shared" si="3"/>
        <v>13.447328567259241</v>
      </c>
      <c r="Q14" s="440">
        <f t="shared" si="4"/>
        <v>12.970568236123992</v>
      </c>
      <c r="R14" s="440">
        <f t="shared" si="5"/>
        <v>13.924088898394491</v>
      </c>
      <c r="S14" s="466">
        <f t="shared" si="6"/>
        <v>-200071.07234377263</v>
      </c>
      <c r="T14" s="440">
        <f t="shared" si="7"/>
        <v>40028433988.787102</v>
      </c>
      <c r="U14" s="466">
        <f t="shared" si="8"/>
        <v>691991.2342558481</v>
      </c>
      <c r="V14" s="467">
        <f t="shared" si="9"/>
        <v>429582.13500318688</v>
      </c>
      <c r="W14" s="467">
        <f t="shared" si="10"/>
        <v>1114692.2305867763</v>
      </c>
      <c r="X14" s="468">
        <f t="shared" si="11"/>
        <v>0.40671451962063065</v>
      </c>
      <c r="Y14" s="553">
        <f t="shared" si="12"/>
        <v>0.40671451962063065</v>
      </c>
      <c r="Z14" s="517">
        <f t="shared" si="13"/>
        <v>11.488555614200711</v>
      </c>
      <c r="AA14" s="471">
        <f t="shared" si="14"/>
        <v>13.431547843501253</v>
      </c>
      <c r="AB14" s="473">
        <f t="shared" si="15"/>
        <v>13.106071709770401</v>
      </c>
      <c r="AC14" s="801">
        <f t="shared" si="16"/>
        <v>68</v>
      </c>
      <c r="AD14" s="435">
        <f t="shared" si="17"/>
        <v>12.954787512366003</v>
      </c>
      <c r="AE14" s="441">
        <f t="shared" si="18"/>
        <v>13.908308174636502</v>
      </c>
    </row>
    <row r="15" spans="1:32">
      <c r="A15" s="134">
        <v>1964</v>
      </c>
      <c r="B15" s="440">
        <f t="shared" si="0"/>
        <v>1969</v>
      </c>
      <c r="C15" s="458">
        <f>VLOOKUP($A15,'Brd Tbl'!$A$8:$AX$64,17)</f>
        <v>12.580110559849002</v>
      </c>
      <c r="D15" s="458">
        <f>VLOOKUP($A15,'Brd Tbl'!$A$8:$AX$64,23)</f>
        <v>13.636544025217798</v>
      </c>
      <c r="E15" s="7">
        <v>47</v>
      </c>
      <c r="F15" s="7">
        <v>45</v>
      </c>
      <c r="G15" s="576">
        <v>7.5133674015885346</v>
      </c>
      <c r="H15" s="576">
        <v>0.51540033253236373</v>
      </c>
      <c r="I15" s="577">
        <v>7.6553971659310743E-2</v>
      </c>
      <c r="J15" s="7">
        <v>13.997160567428612</v>
      </c>
      <c r="K15" s="7">
        <v>0.35078144595625754</v>
      </c>
      <c r="L15" s="7">
        <v>0.50180833939700731</v>
      </c>
      <c r="M15" s="576">
        <v>0.13157945122804174</v>
      </c>
      <c r="N15" s="440">
        <f t="shared" si="1"/>
        <v>-0.36061654221081341</v>
      </c>
      <c r="O15" s="440">
        <f t="shared" si="2"/>
        <v>0.13004429051608338</v>
      </c>
      <c r="P15" s="465">
        <f t="shared" si="3"/>
        <v>13.997160567428612</v>
      </c>
      <c r="Q15" s="440">
        <f t="shared" si="4"/>
        <v>13.520400236293362</v>
      </c>
      <c r="R15" s="440">
        <f t="shared" si="5"/>
        <v>14.473920898563861</v>
      </c>
      <c r="S15" s="466">
        <f t="shared" si="6"/>
        <v>-363060.53169599688</v>
      </c>
      <c r="T15" s="440">
        <f t="shared" si="7"/>
        <v>131812949675.37996</v>
      </c>
      <c r="U15" s="466">
        <f t="shared" si="8"/>
        <v>1199194.413729389</v>
      </c>
      <c r="V15" s="467">
        <f t="shared" si="9"/>
        <v>744449.45402776578</v>
      </c>
      <c r="W15" s="467">
        <f t="shared" si="10"/>
        <v>1931719.1169115119</v>
      </c>
      <c r="X15" s="468">
        <f t="shared" si="11"/>
        <v>0.43421339512408086</v>
      </c>
      <c r="Y15" s="553">
        <f t="shared" si="12"/>
        <v>0.43421339512408086</v>
      </c>
      <c r="Z15" s="517">
        <f t="shared" si="13"/>
        <v>12.580110559849002</v>
      </c>
      <c r="AA15" s="471">
        <f t="shared" si="14"/>
        <v>13.987449644783226</v>
      </c>
      <c r="AB15" s="473">
        <f t="shared" si="15"/>
        <v>13.636544025217798</v>
      </c>
      <c r="AC15" s="801">
        <f t="shared" si="16"/>
        <v>69</v>
      </c>
      <c r="AD15" s="435">
        <f t="shared" si="17"/>
        <v>13.510689313647976</v>
      </c>
      <c r="AE15" s="441">
        <f t="shared" si="18"/>
        <v>14.464209975918475</v>
      </c>
    </row>
    <row r="16" spans="1:32">
      <c r="A16" s="134">
        <v>1965</v>
      </c>
      <c r="B16" s="440">
        <f t="shared" si="0"/>
        <v>1970</v>
      </c>
      <c r="C16" s="458">
        <f>VLOOKUP($A16,'Brd Tbl'!$A$8:$AX$64,17)</f>
        <v>12.864569076480791</v>
      </c>
      <c r="D16" s="458">
        <f>VLOOKUP($A16,'Brd Tbl'!$A$8:$AX$64,23)</f>
        <v>13.934935302361204</v>
      </c>
      <c r="E16" s="7">
        <v>47</v>
      </c>
      <c r="F16" s="7">
        <v>45</v>
      </c>
      <c r="G16" s="576">
        <v>7.5084521111883973</v>
      </c>
      <c r="H16" s="576">
        <v>0.51553843558065804</v>
      </c>
      <c r="I16" s="577">
        <v>7.7686279040957207E-2</v>
      </c>
      <c r="J16" s="7">
        <v>14.140631927296615</v>
      </c>
      <c r="K16" s="7">
        <v>0.35349318988750844</v>
      </c>
      <c r="L16" s="7">
        <v>0.49460119119738127</v>
      </c>
      <c r="M16" s="576">
        <v>0.13344611482391966</v>
      </c>
      <c r="N16" s="440">
        <f t="shared" si="1"/>
        <v>-0.20569662493541152</v>
      </c>
      <c r="O16" s="440">
        <f t="shared" si="2"/>
        <v>4.2311101509819357E-2</v>
      </c>
      <c r="P16" s="465">
        <f t="shared" si="3"/>
        <v>14.140631927296615</v>
      </c>
      <c r="Q16" s="440">
        <f t="shared" si="4"/>
        <v>13.663871596161366</v>
      </c>
      <c r="R16" s="440">
        <f t="shared" si="5"/>
        <v>14.617392258431865</v>
      </c>
      <c r="S16" s="466">
        <f t="shared" si="6"/>
        <v>-257350.19583298475</v>
      </c>
      <c r="T16" s="440">
        <f t="shared" si="7"/>
        <v>66229123295.275604</v>
      </c>
      <c r="U16" s="466">
        <f t="shared" si="8"/>
        <v>1384198.6350503485</v>
      </c>
      <c r="V16" s="467">
        <f t="shared" si="9"/>
        <v>859298.46431201452</v>
      </c>
      <c r="W16" s="467">
        <f t="shared" si="10"/>
        <v>2229732.6724647079</v>
      </c>
      <c r="X16" s="468">
        <f t="shared" si="11"/>
        <v>0.22838048745199807</v>
      </c>
      <c r="Y16" s="553">
        <f t="shared" si="12"/>
        <v>0.22838048745199807</v>
      </c>
      <c r="Z16" s="517">
        <f t="shared" si="13"/>
        <v>12.864569076480791</v>
      </c>
      <c r="AA16" s="471">
        <f t="shared" si="14"/>
        <v>14.132317296582187</v>
      </c>
      <c r="AB16" s="473">
        <f t="shared" si="15"/>
        <v>13.934935302361204</v>
      </c>
      <c r="AC16" s="801">
        <f t="shared" si="16"/>
        <v>70</v>
      </c>
      <c r="AD16" s="435">
        <f t="shared" si="17"/>
        <v>13.655556965446937</v>
      </c>
      <c r="AE16" s="441">
        <f t="shared" si="18"/>
        <v>14.609077627717436</v>
      </c>
    </row>
    <row r="17" spans="1:31">
      <c r="A17" s="134">
        <v>1966</v>
      </c>
      <c r="B17" s="440">
        <f t="shared" si="0"/>
        <v>1971</v>
      </c>
      <c r="C17" s="458">
        <f>VLOOKUP($A17,'Brd Tbl'!$A$8:$AX$64,17)</f>
        <v>12.618710702125638</v>
      </c>
      <c r="D17" s="458">
        <f>VLOOKUP($A17,'Brd Tbl'!$A$8:$AX$64,23)</f>
        <v>13.695125080202772</v>
      </c>
      <c r="E17" s="7">
        <v>47</v>
      </c>
      <c r="F17" s="7">
        <v>45</v>
      </c>
      <c r="G17" s="576">
        <v>7.5135832344129767</v>
      </c>
      <c r="H17" s="576">
        <v>0.51531526187965426</v>
      </c>
      <c r="I17" s="577">
        <v>7.6790610034005446E-2</v>
      </c>
      <c r="J17" s="7">
        <v>14.016197444462446</v>
      </c>
      <c r="K17" s="7">
        <v>0.35161583799871843</v>
      </c>
      <c r="L17" s="7">
        <v>0.50018262998133023</v>
      </c>
      <c r="M17" s="576">
        <v>0.13215300074771802</v>
      </c>
      <c r="N17" s="440">
        <f t="shared" si="1"/>
        <v>-0.321072364259674</v>
      </c>
      <c r="O17" s="440">
        <f t="shared" si="2"/>
        <v>0.10308746309129679</v>
      </c>
      <c r="P17" s="465">
        <f t="shared" si="3"/>
        <v>14.016197444462446</v>
      </c>
      <c r="Q17" s="440">
        <f t="shared" si="4"/>
        <v>13.539437113327196</v>
      </c>
      <c r="R17" s="440">
        <f t="shared" si="5"/>
        <v>14.492957775597695</v>
      </c>
      <c r="S17" s="466">
        <f t="shared" si="6"/>
        <v>-335663.39692720515</v>
      </c>
      <c r="T17" s="440">
        <f t="shared" si="7"/>
        <v>112669916036.71048</v>
      </c>
      <c r="U17" s="466">
        <f t="shared" si="8"/>
        <v>1222242.0114264505</v>
      </c>
      <c r="V17" s="467">
        <f t="shared" si="9"/>
        <v>758757.2020674434</v>
      </c>
      <c r="W17" s="467">
        <f t="shared" si="10"/>
        <v>1968845.2780748561</v>
      </c>
      <c r="X17" s="468">
        <f t="shared" si="11"/>
        <v>0.37860533903899041</v>
      </c>
      <c r="Y17" s="553">
        <f t="shared" si="12"/>
        <v>0.37860533903899041</v>
      </c>
      <c r="Z17" s="517">
        <f t="shared" si="13"/>
        <v>12.618710702125638</v>
      </c>
      <c r="AA17" s="471">
        <f t="shared" si="14"/>
        <v>14.00710773776963</v>
      </c>
      <c r="AB17" s="473">
        <f t="shared" si="15"/>
        <v>13.695125080202772</v>
      </c>
      <c r="AC17" s="801">
        <f t="shared" si="16"/>
        <v>71</v>
      </c>
      <c r="AD17" s="435">
        <f t="shared" si="17"/>
        <v>13.53034740663438</v>
      </c>
      <c r="AE17" s="441">
        <f t="shared" si="18"/>
        <v>14.483868068904879</v>
      </c>
    </row>
    <row r="18" spans="1:31">
      <c r="A18" s="134">
        <v>1967</v>
      </c>
      <c r="B18" s="440">
        <f t="shared" si="0"/>
        <v>1972</v>
      </c>
      <c r="C18" s="458">
        <f>VLOOKUP($A18,'Brd Tbl'!$A$8:$AX$64,17)</f>
        <v>11.485777379207695</v>
      </c>
      <c r="D18" s="458">
        <f>VLOOKUP($A18,'Brd Tbl'!$A$8:$AX$64,23)</f>
        <v>13.469993411243443</v>
      </c>
      <c r="E18" s="7">
        <v>47</v>
      </c>
      <c r="F18" s="7">
        <v>45</v>
      </c>
      <c r="G18" s="576">
        <v>7.5620573162108213</v>
      </c>
      <c r="H18" s="576">
        <v>0.51073030151034615</v>
      </c>
      <c r="I18" s="577">
        <v>7.8200214145480187E-2</v>
      </c>
      <c r="J18" s="7">
        <v>13.42819186017428</v>
      </c>
      <c r="K18" s="7">
        <v>0.35471488298815756</v>
      </c>
      <c r="L18" s="7">
        <v>0.48662221074218193</v>
      </c>
      <c r="M18" s="576">
        <v>0.1343091729481331</v>
      </c>
      <c r="N18" s="440">
        <f t="shared" si="1"/>
        <v>4.1801551069163168E-2</v>
      </c>
      <c r="O18" s="440">
        <f t="shared" si="2"/>
        <v>1.7473696717878564E-3</v>
      </c>
      <c r="P18" s="465">
        <f t="shared" si="3"/>
        <v>13.42819186017428</v>
      </c>
      <c r="Q18" s="440">
        <f t="shared" si="4"/>
        <v>12.951431529039031</v>
      </c>
      <c r="R18" s="440">
        <f t="shared" si="5"/>
        <v>13.90495219130953</v>
      </c>
      <c r="S18" s="466">
        <f t="shared" si="6"/>
        <v>28979.489742666483</v>
      </c>
      <c r="T18" s="440">
        <f t="shared" si="7"/>
        <v>839810825.74531186</v>
      </c>
      <c r="U18" s="466">
        <f t="shared" si="8"/>
        <v>678874.70457887347</v>
      </c>
      <c r="V18" s="467">
        <f t="shared" si="9"/>
        <v>421439.50754848111</v>
      </c>
      <c r="W18" s="467">
        <f t="shared" si="10"/>
        <v>1093563.5038061438</v>
      </c>
      <c r="X18" s="468">
        <f t="shared" si="11"/>
        <v>-4.0939913862405773E-2</v>
      </c>
      <c r="Y18" s="553">
        <f t="shared" si="12"/>
        <v>4.0939913862405773E-2</v>
      </c>
      <c r="Z18" s="517">
        <f t="shared" si="13"/>
        <v>11.485777379207695</v>
      </c>
      <c r="AA18" s="471">
        <f t="shared" si="14"/>
        <v>13.430132957477273</v>
      </c>
      <c r="AB18" s="473">
        <f t="shared" si="15"/>
        <v>13.469993411243443</v>
      </c>
      <c r="AC18" s="801">
        <f t="shared" si="16"/>
        <v>72</v>
      </c>
      <c r="AD18" s="435">
        <f t="shared" si="17"/>
        <v>12.953372626342023</v>
      </c>
      <c r="AE18" s="441">
        <f t="shared" si="18"/>
        <v>13.906893288612522</v>
      </c>
    </row>
    <row r="19" spans="1:31">
      <c r="A19" s="134">
        <v>1968</v>
      </c>
      <c r="B19" s="440">
        <f t="shared" si="0"/>
        <v>1973</v>
      </c>
      <c r="C19" s="458">
        <f>VLOOKUP($A19,'Brd Tbl'!$A$8:$AX$64,17)</f>
        <v>11.890550097717687</v>
      </c>
      <c r="D19" s="458">
        <f>VLOOKUP($A19,'Brd Tbl'!$A$8:$AX$64,23)</f>
        <v>13.292926891590582</v>
      </c>
      <c r="E19" s="7">
        <v>47</v>
      </c>
      <c r="F19" s="7">
        <v>45</v>
      </c>
      <c r="G19" s="576">
        <v>7.6554903828624647</v>
      </c>
      <c r="H19" s="576">
        <v>0.50375735566896629</v>
      </c>
      <c r="I19" s="577">
        <v>7.6555890862206835E-2</v>
      </c>
      <c r="J19" s="7">
        <v>13.645442457538095</v>
      </c>
      <c r="K19" s="7">
        <v>0.35095584795026386</v>
      </c>
      <c r="L19" s="7">
        <v>0.49037238837722319</v>
      </c>
      <c r="M19" s="576">
        <v>0.13170236753188827</v>
      </c>
      <c r="N19" s="440">
        <f t="shared" si="1"/>
        <v>-0.35251556594751321</v>
      </c>
      <c r="O19" s="440">
        <f t="shared" si="2"/>
        <v>0.12426722423529553</v>
      </c>
      <c r="P19" s="465">
        <f t="shared" si="3"/>
        <v>13.645442457538095</v>
      </c>
      <c r="Q19" s="440">
        <f t="shared" si="4"/>
        <v>13.168682126402846</v>
      </c>
      <c r="R19" s="440">
        <f t="shared" si="5"/>
        <v>14.122202788673345</v>
      </c>
      <c r="S19" s="466">
        <f t="shared" si="6"/>
        <v>-250620.87679399154</v>
      </c>
      <c r="T19" s="440">
        <f t="shared" si="7"/>
        <v>62810823884.98909</v>
      </c>
      <c r="U19" s="466">
        <f t="shared" si="8"/>
        <v>843607.36461909581</v>
      </c>
      <c r="V19" s="467">
        <f t="shared" si="9"/>
        <v>523704.1090371593</v>
      </c>
      <c r="W19" s="467">
        <f t="shared" si="10"/>
        <v>1358922.6690392063</v>
      </c>
      <c r="X19" s="468">
        <f t="shared" si="11"/>
        <v>0.42264180034387189</v>
      </c>
      <c r="Y19" s="553">
        <f t="shared" si="12"/>
        <v>0.42264180034387189</v>
      </c>
      <c r="Z19" s="517">
        <f t="shared" si="13"/>
        <v>11.890550097717687</v>
      </c>
      <c r="AA19" s="471">
        <f t="shared" si="14"/>
        <v>13.636273641669646</v>
      </c>
      <c r="AB19" s="473">
        <f t="shared" si="15"/>
        <v>13.292926891590582</v>
      </c>
      <c r="AC19" s="801">
        <f t="shared" si="16"/>
        <v>73</v>
      </c>
      <c r="AD19" s="435">
        <f t="shared" si="17"/>
        <v>13.159513310534397</v>
      </c>
      <c r="AE19" s="441">
        <f t="shared" si="18"/>
        <v>14.113033972804896</v>
      </c>
    </row>
    <row r="20" spans="1:31">
      <c r="A20" s="134">
        <v>1969</v>
      </c>
      <c r="B20" s="440">
        <f t="shared" si="0"/>
        <v>1974</v>
      </c>
      <c r="C20" s="458">
        <f>VLOOKUP($A20,'Brd Tbl'!$A$8:$AX$64,17)</f>
        <v>11.527954939121013</v>
      </c>
      <c r="D20" s="458">
        <f>VLOOKUP($A20,'Brd Tbl'!$A$8:$AX$64,23)</f>
        <v>13.366855574069275</v>
      </c>
      <c r="E20" s="7">
        <v>47</v>
      </c>
      <c r="F20" s="7">
        <v>45</v>
      </c>
      <c r="G20" s="576">
        <v>7.6180981398293284</v>
      </c>
      <c r="H20" s="576">
        <v>0.50636710579998012</v>
      </c>
      <c r="I20" s="577">
        <v>7.8043206338889268E-2</v>
      </c>
      <c r="J20" s="7">
        <v>13.455475318144622</v>
      </c>
      <c r="K20" s="7">
        <v>0.35453174821899242</v>
      </c>
      <c r="L20" s="7">
        <v>0.48334020238731168</v>
      </c>
      <c r="M20" s="576">
        <v>0.1341792561530652</v>
      </c>
      <c r="N20" s="440">
        <f t="shared" si="1"/>
        <v>-8.8619744075346674E-2</v>
      </c>
      <c r="O20" s="440">
        <f t="shared" si="2"/>
        <v>7.8534590399799414E-3</v>
      </c>
      <c r="P20" s="465">
        <f t="shared" si="3"/>
        <v>13.455475318144622</v>
      </c>
      <c r="Q20" s="440">
        <f t="shared" si="4"/>
        <v>12.978714987009372</v>
      </c>
      <c r="R20" s="440">
        <f t="shared" si="5"/>
        <v>13.932235649279871</v>
      </c>
      <c r="S20" s="466">
        <f t="shared" si="6"/>
        <v>-59165.391746501205</v>
      </c>
      <c r="T20" s="440">
        <f t="shared" si="7"/>
        <v>3500543580.516953</v>
      </c>
      <c r="U20" s="466">
        <f t="shared" si="8"/>
        <v>697651.74051632232</v>
      </c>
      <c r="V20" s="467">
        <f t="shared" si="9"/>
        <v>433096.12801957002</v>
      </c>
      <c r="W20" s="467">
        <f t="shared" si="10"/>
        <v>1123810.4419706585</v>
      </c>
      <c r="X20" s="468">
        <f t="shared" si="11"/>
        <v>9.2665084947385068E-2</v>
      </c>
      <c r="Y20" s="553">
        <f t="shared" si="12"/>
        <v>9.2665084947385068E-2</v>
      </c>
      <c r="Z20" s="517">
        <f t="shared" si="13"/>
        <v>11.527954939121013</v>
      </c>
      <c r="AA20" s="471">
        <f t="shared" si="14"/>
        <v>13.451612940342971</v>
      </c>
      <c r="AB20" s="473">
        <f t="shared" si="15"/>
        <v>13.366855574069275</v>
      </c>
      <c r="AC20" s="801">
        <f t="shared" si="16"/>
        <v>74</v>
      </c>
      <c r="AD20" s="435">
        <f t="shared" si="17"/>
        <v>12.974852609207721</v>
      </c>
      <c r="AE20" s="441">
        <f t="shared" si="18"/>
        <v>13.92837327147822</v>
      </c>
    </row>
    <row r="21" spans="1:31">
      <c r="A21" s="134">
        <v>1970</v>
      </c>
      <c r="B21" s="440">
        <f t="shared" si="0"/>
        <v>1975</v>
      </c>
      <c r="C21" s="458">
        <f>VLOOKUP($A21,'Brd Tbl'!$A$8:$AX$64,17)</f>
        <v>11.337791564019003</v>
      </c>
      <c r="D21" s="458">
        <f>VLOOKUP($A21,'Brd Tbl'!$A$8:$AX$64,23)</f>
        <v>12.755967055394713</v>
      </c>
      <c r="E21" s="7">
        <v>47</v>
      </c>
      <c r="F21" s="7">
        <v>45</v>
      </c>
      <c r="G21" s="576">
        <v>7.9187256051848323</v>
      </c>
      <c r="H21" s="576">
        <v>0.48270064676595459</v>
      </c>
      <c r="I21" s="577">
        <v>7.5991667507469288E-2</v>
      </c>
      <c r="J21" s="7">
        <v>13.391484926034389</v>
      </c>
      <c r="K21" s="7">
        <v>0.34264127792324423</v>
      </c>
      <c r="L21" s="7">
        <v>0.47274790492526647</v>
      </c>
      <c r="M21" s="576">
        <v>0.12575309647514163</v>
      </c>
      <c r="N21" s="440">
        <f t="shared" si="1"/>
        <v>-0.63551787063967602</v>
      </c>
      <c r="O21" s="440">
        <f t="shared" si="2"/>
        <v>0.40388296390238798</v>
      </c>
      <c r="P21" s="465">
        <f t="shared" si="3"/>
        <v>13.391484926034389</v>
      </c>
      <c r="Q21" s="440">
        <f t="shared" si="4"/>
        <v>12.914724594899139</v>
      </c>
      <c r="R21" s="440">
        <f t="shared" si="5"/>
        <v>13.868245257169638</v>
      </c>
      <c r="S21" s="466">
        <f t="shared" si="6"/>
        <v>-307793.1053551035</v>
      </c>
      <c r="T21" s="440">
        <f t="shared" si="7"/>
        <v>94736595704.137848</v>
      </c>
      <c r="U21" s="466">
        <f t="shared" si="8"/>
        <v>654407.10797677736</v>
      </c>
      <c r="V21" s="467">
        <f t="shared" si="9"/>
        <v>406250.23654849752</v>
      </c>
      <c r="W21" s="467">
        <f t="shared" si="10"/>
        <v>1054149.9412010948</v>
      </c>
      <c r="X21" s="468">
        <f t="shared" si="11"/>
        <v>0.88799962790613796</v>
      </c>
      <c r="Y21" s="553">
        <f t="shared" si="12"/>
        <v>0.88799962790613796</v>
      </c>
      <c r="Z21" s="517">
        <f t="shared" si="13"/>
        <v>11.337791564019003</v>
      </c>
      <c r="AA21" s="471">
        <f t="shared" si="14"/>
        <v>13.354767460251923</v>
      </c>
      <c r="AB21" s="473">
        <f t="shared" si="15"/>
        <v>12.755967055394713</v>
      </c>
      <c r="AC21" s="801">
        <f t="shared" si="16"/>
        <v>75</v>
      </c>
      <c r="AD21" s="435">
        <f t="shared" si="17"/>
        <v>12.878007129116673</v>
      </c>
      <c r="AE21" s="441">
        <f t="shared" si="18"/>
        <v>13.831527791387172</v>
      </c>
    </row>
    <row r="22" spans="1:31">
      <c r="A22" s="134">
        <v>1971</v>
      </c>
      <c r="B22" s="440">
        <f t="shared" si="0"/>
        <v>1976</v>
      </c>
      <c r="C22" s="458">
        <f>VLOOKUP($A22,'Brd Tbl'!$A$8:$AX$64,17)</f>
        <v>10.786199106171235</v>
      </c>
      <c r="D22" s="458">
        <f>VLOOKUP($A22,'Brd Tbl'!$A$8:$AX$64,23)</f>
        <v>13.754613147674856</v>
      </c>
      <c r="E22" s="7">
        <v>47</v>
      </c>
      <c r="F22" s="7">
        <v>45</v>
      </c>
      <c r="G22" s="576">
        <v>6.923698865552085</v>
      </c>
      <c r="H22" s="576">
        <v>0.5617188458471678</v>
      </c>
      <c r="I22" s="577">
        <v>7.7470870881094625E-2</v>
      </c>
      <c r="J22" s="7">
        <v>12.982510178548345</v>
      </c>
      <c r="K22" s="7">
        <v>0.33790432944020143</v>
      </c>
      <c r="L22" s="7">
        <v>0.53880589993035455</v>
      </c>
      <c r="M22" s="576">
        <v>0.12166245751702282</v>
      </c>
      <c r="N22" s="440">
        <f t="shared" si="1"/>
        <v>0.77210296912651089</v>
      </c>
      <c r="O22" s="440">
        <f t="shared" si="2"/>
        <v>0.59614299493397382</v>
      </c>
      <c r="P22" s="465">
        <f t="shared" si="3"/>
        <v>12.982510178548345</v>
      </c>
      <c r="Q22" s="440">
        <f t="shared" si="4"/>
        <v>12.505749847413096</v>
      </c>
      <c r="R22" s="440">
        <f t="shared" si="5"/>
        <v>13.459270509683595</v>
      </c>
      <c r="S22" s="466">
        <f t="shared" si="6"/>
        <v>506176.82973579061</v>
      </c>
      <c r="T22" s="440">
        <f t="shared" si="7"/>
        <v>256214982961.37555</v>
      </c>
      <c r="U22" s="466">
        <f t="shared" si="8"/>
        <v>434742.93377518316</v>
      </c>
      <c r="V22" s="467">
        <f t="shared" si="9"/>
        <v>269884.62920274911</v>
      </c>
      <c r="W22" s="467">
        <f t="shared" si="10"/>
        <v>700304.49316721631</v>
      </c>
      <c r="X22" s="468">
        <f t="shared" si="11"/>
        <v>-0.53795961076110099</v>
      </c>
      <c r="Y22" s="553">
        <f t="shared" si="12"/>
        <v>0.53795961076110099</v>
      </c>
      <c r="Z22" s="517">
        <f t="shared" si="13"/>
        <v>10.786199106171235</v>
      </c>
      <c r="AA22" s="471">
        <f t="shared" si="14"/>
        <v>13.073855132280183</v>
      </c>
      <c r="AB22" s="473">
        <f t="shared" si="15"/>
        <v>13.754613147674856</v>
      </c>
      <c r="AC22" s="801">
        <f t="shared" si="16"/>
        <v>76</v>
      </c>
      <c r="AD22" s="435">
        <f t="shared" si="17"/>
        <v>12.597094801144934</v>
      </c>
      <c r="AE22" s="441">
        <f t="shared" si="18"/>
        <v>13.550615463415433</v>
      </c>
    </row>
    <row r="23" spans="1:31">
      <c r="A23" s="178">
        <v>1972</v>
      </c>
      <c r="B23" s="440">
        <f t="shared" si="0"/>
        <v>1977</v>
      </c>
      <c r="C23" s="458">
        <f>VLOOKUP($A23,'Brd Tbl'!$A$8:$AX$64,17)</f>
        <v>11.849668897253039</v>
      </c>
      <c r="D23" s="458">
        <f>VLOOKUP($A23,'Brd Tbl'!$A$8:$AX$64,23)</f>
        <v>13.648497293799361</v>
      </c>
      <c r="E23" s="7">
        <v>47</v>
      </c>
      <c r="F23" s="7">
        <v>45</v>
      </c>
      <c r="G23" s="576">
        <v>7.5727019815831147</v>
      </c>
      <c r="H23" s="576">
        <v>0.50987264997417858</v>
      </c>
      <c r="I23" s="577">
        <v>7.7433619996833791E-2</v>
      </c>
      <c r="J23" s="7">
        <v>13.614524063542124</v>
      </c>
      <c r="K23" s="7">
        <v>0.35473191148905542</v>
      </c>
      <c r="L23" s="7">
        <v>0.49070541609969354</v>
      </c>
      <c r="M23" s="576">
        <v>0.13432179399701988</v>
      </c>
      <c r="N23" s="440">
        <f t="shared" si="1"/>
        <v>3.3973230257236864E-2</v>
      </c>
      <c r="O23" s="440">
        <f t="shared" si="2"/>
        <v>1.1541803741112343E-3</v>
      </c>
      <c r="P23" s="465">
        <f t="shared" si="3"/>
        <v>13.614524063542124</v>
      </c>
      <c r="Q23" s="440">
        <f t="shared" si="4"/>
        <v>13.137763732406874</v>
      </c>
      <c r="R23" s="440">
        <f t="shared" si="5"/>
        <v>14.091284394677373</v>
      </c>
      <c r="S23" s="466">
        <f t="shared" si="6"/>
        <v>28264.909271960612</v>
      </c>
      <c r="T23" s="440">
        <f t="shared" si="7"/>
        <v>798905096.15216494</v>
      </c>
      <c r="U23" s="466">
        <f t="shared" si="8"/>
        <v>817923.47800847224</v>
      </c>
      <c r="V23" s="467">
        <f t="shared" si="9"/>
        <v>507759.77578670066</v>
      </c>
      <c r="W23" s="467">
        <f t="shared" si="10"/>
        <v>1317549.8489240478</v>
      </c>
      <c r="X23" s="468">
        <f t="shared" si="11"/>
        <v>-3.3402620145617075E-2</v>
      </c>
      <c r="Y23" s="553">
        <f t="shared" si="12"/>
        <v>3.3402620145617075E-2</v>
      </c>
      <c r="Z23" s="517">
        <f t="shared" si="13"/>
        <v>11.849668897253039</v>
      </c>
      <c r="AA23" s="471">
        <f t="shared" si="14"/>
        <v>13.61545386244784</v>
      </c>
      <c r="AB23" s="473">
        <f t="shared" si="15"/>
        <v>13.648497293799361</v>
      </c>
      <c r="AC23" s="801">
        <f t="shared" si="16"/>
        <v>77</v>
      </c>
      <c r="AD23" s="435">
        <f t="shared" si="17"/>
        <v>13.13869353131259</v>
      </c>
      <c r="AE23" s="441">
        <f t="shared" si="18"/>
        <v>14.092214193583089</v>
      </c>
    </row>
    <row r="24" spans="1:31">
      <c r="A24" s="134">
        <v>1973</v>
      </c>
      <c r="B24" s="440">
        <f t="shared" si="0"/>
        <v>1978</v>
      </c>
      <c r="C24" s="458">
        <f>VLOOKUP($A24,'Brd Tbl'!$A$8:$AX$64,17)</f>
        <v>10.319922690953129</v>
      </c>
      <c r="D24" s="458">
        <f>VLOOKUP($A24,'Brd Tbl'!$A$8:$AX$64,23)</f>
        <v>12.602715502852924</v>
      </c>
      <c r="E24" s="7">
        <v>47</v>
      </c>
      <c r="F24" s="7">
        <v>45</v>
      </c>
      <c r="G24" s="576">
        <v>7.9047860189562069</v>
      </c>
      <c r="H24" s="576">
        <v>0.48325085681735802</v>
      </c>
      <c r="I24" s="577">
        <v>8.445362701428924E-2</v>
      </c>
      <c r="J24" s="7">
        <v>12.891897501648202</v>
      </c>
      <c r="K24" s="7">
        <v>0.35264430679569631</v>
      </c>
      <c r="L24" s="7">
        <v>0.42116424242845146</v>
      </c>
      <c r="M24" s="576">
        <v>0.13256706957035769</v>
      </c>
      <c r="N24" s="440">
        <f t="shared" si="1"/>
        <v>-0.28918199879527862</v>
      </c>
      <c r="O24" s="440">
        <f t="shared" si="2"/>
        <v>8.3626228427232524E-2</v>
      </c>
      <c r="P24" s="465">
        <f t="shared" si="3"/>
        <v>12.891897501648202</v>
      </c>
      <c r="Q24" s="440">
        <f t="shared" si="4"/>
        <v>12.415137170512953</v>
      </c>
      <c r="R24" s="440">
        <f t="shared" si="5"/>
        <v>13.368657832783452</v>
      </c>
      <c r="S24" s="466">
        <f t="shared" si="6"/>
        <v>-99716.802061408758</v>
      </c>
      <c r="T24" s="440">
        <f t="shared" si="7"/>
        <v>9943440613.3541737</v>
      </c>
      <c r="U24" s="466">
        <f t="shared" si="8"/>
        <v>397081.76738499285</v>
      </c>
      <c r="V24" s="467">
        <f t="shared" si="9"/>
        <v>246504.90491764847</v>
      </c>
      <c r="W24" s="467">
        <f t="shared" si="10"/>
        <v>639638.10392440157</v>
      </c>
      <c r="X24" s="468">
        <f t="shared" si="11"/>
        <v>0.33533473572752515</v>
      </c>
      <c r="Y24" s="553">
        <f t="shared" si="12"/>
        <v>0.33533473572752515</v>
      </c>
      <c r="Z24" s="517">
        <f t="shared" si="13"/>
        <v>10.319922690953129</v>
      </c>
      <c r="AA24" s="471">
        <f t="shared" si="14"/>
        <v>12.836392144137978</v>
      </c>
      <c r="AB24" s="473">
        <f t="shared" si="15"/>
        <v>12.602715502852924</v>
      </c>
      <c r="AC24" s="801">
        <f t="shared" si="16"/>
        <v>78</v>
      </c>
      <c r="AD24" s="435">
        <f t="shared" si="17"/>
        <v>12.359631813002729</v>
      </c>
      <c r="AE24" s="441">
        <f t="shared" si="18"/>
        <v>13.313152475273228</v>
      </c>
    </row>
    <row r="25" spans="1:31">
      <c r="A25" s="134">
        <v>1974</v>
      </c>
      <c r="B25" s="440">
        <f t="shared" si="0"/>
        <v>1979</v>
      </c>
      <c r="C25" s="458">
        <f>VLOOKUP($A25,'Brd Tbl'!$A$8:$AX$64,17)</f>
        <v>11.947676971583181</v>
      </c>
      <c r="D25" s="458">
        <f>VLOOKUP($A25,'Brd Tbl'!$A$8:$AX$64,23)</f>
        <v>13.000725318656022</v>
      </c>
      <c r="E25" s="7">
        <v>47</v>
      </c>
      <c r="F25" s="7">
        <v>45</v>
      </c>
      <c r="G25" s="576">
        <v>7.702711710185171</v>
      </c>
      <c r="H25" s="576">
        <v>0.50045386884455723</v>
      </c>
      <c r="I25" s="577">
        <v>7.4167266560476619E-2</v>
      </c>
      <c r="J25" s="7">
        <v>13.681972874318998</v>
      </c>
      <c r="K25" s="7">
        <v>0.34029072274730982</v>
      </c>
      <c r="L25" s="7">
        <v>0.50293060550022084</v>
      </c>
      <c r="M25" s="576">
        <v>0.12447192055611202</v>
      </c>
      <c r="N25" s="440">
        <f t="shared" si="1"/>
        <v>-0.68124755566297601</v>
      </c>
      <c r="O25" s="440">
        <f t="shared" si="2"/>
        <v>0.46409823209677958</v>
      </c>
      <c r="P25" s="465">
        <f t="shared" si="3"/>
        <v>13.681972874318998</v>
      </c>
      <c r="Q25" s="440">
        <f t="shared" si="4"/>
        <v>13.205212543183748</v>
      </c>
      <c r="R25" s="440">
        <f t="shared" si="5"/>
        <v>14.158733205454247</v>
      </c>
      <c r="S25" s="466">
        <f t="shared" si="6"/>
        <v>-432260.0962761949</v>
      </c>
      <c r="T25" s="440">
        <f t="shared" si="7"/>
        <v>186848790832.70529</v>
      </c>
      <c r="U25" s="466">
        <f t="shared" si="8"/>
        <v>874994.49537415535</v>
      </c>
      <c r="V25" s="467">
        <f t="shared" si="9"/>
        <v>543188.9666103659</v>
      </c>
      <c r="W25" s="467">
        <f t="shared" si="10"/>
        <v>1409482.5447444243</v>
      </c>
      <c r="X25" s="468">
        <f t="shared" si="11"/>
        <v>0.97634179127913667</v>
      </c>
      <c r="Y25" s="553">
        <f t="shared" si="12"/>
        <v>0.97634179127913667</v>
      </c>
      <c r="Z25" s="517">
        <f t="shared" si="13"/>
        <v>11.947676971583181</v>
      </c>
      <c r="AA25" s="471">
        <f t="shared" si="14"/>
        <v>13.665366938539439</v>
      </c>
      <c r="AB25" s="473">
        <f t="shared" si="15"/>
        <v>13.000725318656022</v>
      </c>
      <c r="AC25" s="801">
        <f t="shared" si="16"/>
        <v>79</v>
      </c>
      <c r="AD25" s="435">
        <f t="shared" si="17"/>
        <v>13.188606607404189</v>
      </c>
      <c r="AE25" s="441">
        <f t="shared" si="18"/>
        <v>14.142127269674688</v>
      </c>
    </row>
    <row r="26" spans="1:31">
      <c r="A26" s="134">
        <v>1975</v>
      </c>
      <c r="B26" s="440">
        <f t="shared" si="0"/>
        <v>1980</v>
      </c>
      <c r="C26" s="458">
        <f>VLOOKUP($A26,'Brd Tbl'!$A$8:$AX$64,17)</f>
        <v>11.137836486346464</v>
      </c>
      <c r="D26" s="458">
        <f>VLOOKUP($A26,'Brd Tbl'!$A$8:$AX$64,23)</f>
        <v>12.925948486164664</v>
      </c>
      <c r="E26" s="7">
        <v>47</v>
      </c>
      <c r="F26" s="7">
        <v>45</v>
      </c>
      <c r="G26" s="576">
        <v>7.8099598479006742</v>
      </c>
      <c r="H26" s="576">
        <v>0.49112052544800416</v>
      </c>
      <c r="I26" s="577">
        <v>7.8653520728665688E-2</v>
      </c>
      <c r="J26" s="7">
        <v>13.279979955429102</v>
      </c>
      <c r="K26" s="7">
        <v>0.35112270007698815</v>
      </c>
      <c r="L26" s="7">
        <v>0.46421425694080337</v>
      </c>
      <c r="M26" s="576">
        <v>0.13167957908520231</v>
      </c>
      <c r="N26" s="440">
        <f t="shared" si="1"/>
        <v>-0.35403146926443796</v>
      </c>
      <c r="O26" s="440">
        <f t="shared" si="2"/>
        <v>0.12533828122953669</v>
      </c>
      <c r="P26" s="465">
        <f t="shared" si="3"/>
        <v>13.279979955429102</v>
      </c>
      <c r="Q26" s="440">
        <f t="shared" si="4"/>
        <v>12.803219624293853</v>
      </c>
      <c r="R26" s="440">
        <f t="shared" si="5"/>
        <v>13.756740286564352</v>
      </c>
      <c r="S26" s="466">
        <f t="shared" si="6"/>
        <v>-174522.98509359389</v>
      </c>
      <c r="T26" s="440">
        <f t="shared" si="7"/>
        <v>30458272325.978794</v>
      </c>
      <c r="U26" s="466">
        <f t="shared" si="8"/>
        <v>585358.61496447865</v>
      </c>
      <c r="V26" s="467">
        <f t="shared" si="9"/>
        <v>363385.53309763118</v>
      </c>
      <c r="W26" s="467">
        <f t="shared" si="10"/>
        <v>942923.36074114987</v>
      </c>
      <c r="X26" s="468">
        <f t="shared" si="11"/>
        <v>0.42480002318309645</v>
      </c>
      <c r="Y26" s="553">
        <f t="shared" si="12"/>
        <v>0.42480002318309645</v>
      </c>
      <c r="Z26" s="517">
        <f t="shared" si="13"/>
        <v>11.137836486346464</v>
      </c>
      <c r="AA26" s="471">
        <f t="shared" si="14"/>
        <v>13.252935309431859</v>
      </c>
      <c r="AB26" s="473">
        <f t="shared" si="15"/>
        <v>12.925948486164664</v>
      </c>
      <c r="AC26" s="801">
        <f t="shared" si="16"/>
        <v>80</v>
      </c>
      <c r="AD26" s="435">
        <f t="shared" si="17"/>
        <v>12.776174978296609</v>
      </c>
      <c r="AE26" s="441">
        <f t="shared" si="18"/>
        <v>13.729695640567108</v>
      </c>
    </row>
    <row r="27" spans="1:31">
      <c r="A27" s="134">
        <v>1976</v>
      </c>
      <c r="B27" s="440">
        <f t="shared" si="0"/>
        <v>1981</v>
      </c>
      <c r="C27" s="458">
        <f>VLOOKUP($A27,'Brd Tbl'!$A$8:$AX$64,17)</f>
        <v>12.065175246038875</v>
      </c>
      <c r="D27" s="458">
        <f>VLOOKUP($A27,'Brd Tbl'!$A$8:$AX$64,23)</f>
        <v>13.706895781055929</v>
      </c>
      <c r="E27" s="7">
        <v>47</v>
      </c>
      <c r="F27" s="7">
        <v>45</v>
      </c>
      <c r="G27" s="576">
        <v>7.5827923182214443</v>
      </c>
      <c r="H27" s="576">
        <v>0.50913683950779898</v>
      </c>
      <c r="I27" s="577">
        <v>7.7225574672087044E-2</v>
      </c>
      <c r="J27" s="7">
        <v>13.725617511097408</v>
      </c>
      <c r="K27" s="7">
        <v>0.35475633582918348</v>
      </c>
      <c r="L27" s="7">
        <v>0.49132831717839032</v>
      </c>
      <c r="M27" s="576">
        <v>0.13433889351187872</v>
      </c>
      <c r="N27" s="440">
        <f t="shared" si="1"/>
        <v>-1.8721730041479034E-2</v>
      </c>
      <c r="O27" s="440">
        <f t="shared" si="2"/>
        <v>3.5050317574601854E-4</v>
      </c>
      <c r="P27" s="465">
        <f t="shared" si="3"/>
        <v>13.725617511097408</v>
      </c>
      <c r="Q27" s="440">
        <f t="shared" si="4"/>
        <v>13.248857179962158</v>
      </c>
      <c r="R27" s="440">
        <f t="shared" si="5"/>
        <v>14.202377842232657</v>
      </c>
      <c r="S27" s="466">
        <f t="shared" si="6"/>
        <v>-16953.012995799654</v>
      </c>
      <c r="T27" s="440">
        <f t="shared" si="7"/>
        <v>287404649.63575196</v>
      </c>
      <c r="U27" s="466">
        <f t="shared" si="8"/>
        <v>914028.93830236478</v>
      </c>
      <c r="V27" s="467">
        <f t="shared" si="9"/>
        <v>567421.20901700959</v>
      </c>
      <c r="W27" s="467">
        <f t="shared" si="10"/>
        <v>1472361.0728288866</v>
      </c>
      <c r="X27" s="468">
        <f t="shared" si="11"/>
        <v>1.8898080438404543E-2</v>
      </c>
      <c r="Y27" s="553">
        <f t="shared" si="12"/>
        <v>1.8898080438404543E-2</v>
      </c>
      <c r="Z27" s="517">
        <f t="shared" si="13"/>
        <v>12.065175246038875</v>
      </c>
      <c r="AA27" s="471">
        <f t="shared" si="14"/>
        <v>13.725205889091443</v>
      </c>
      <c r="AB27" s="473">
        <f t="shared" si="15"/>
        <v>13.706895781055929</v>
      </c>
      <c r="AC27" s="801">
        <f t="shared" si="16"/>
        <v>81</v>
      </c>
      <c r="AD27" s="435">
        <f t="shared" si="17"/>
        <v>13.248445557956193</v>
      </c>
      <c r="AE27" s="441">
        <f t="shared" si="18"/>
        <v>14.201966220226693</v>
      </c>
    </row>
    <row r="28" spans="1:31">
      <c r="A28" s="134">
        <v>1977</v>
      </c>
      <c r="B28" s="440">
        <f t="shared" si="0"/>
        <v>1982</v>
      </c>
      <c r="C28" s="458">
        <f>VLOOKUP($A28,'Brd Tbl'!$A$8:$AX$64,17)</f>
        <v>11.814132726468909</v>
      </c>
      <c r="D28" s="458">
        <f>VLOOKUP($A28,'Brd Tbl'!$A$8:$AX$64,23)</f>
        <v>14.11696530569891</v>
      </c>
      <c r="E28" s="7">
        <v>47</v>
      </c>
      <c r="F28" s="7">
        <v>45</v>
      </c>
      <c r="G28" s="576">
        <v>7.4435873809473332</v>
      </c>
      <c r="H28" s="576">
        <v>0.51958340414123161</v>
      </c>
      <c r="I28" s="577">
        <v>7.5567934221454344E-2</v>
      </c>
      <c r="J28" s="7">
        <v>13.582014679942379</v>
      </c>
      <c r="K28" s="7">
        <v>0.34595183249283074</v>
      </c>
      <c r="L28" s="7">
        <v>0.51232952852984481</v>
      </c>
      <c r="M28" s="576">
        <v>0.12825758140929239</v>
      </c>
      <c r="N28" s="440">
        <f t="shared" si="1"/>
        <v>0.53495062575653129</v>
      </c>
      <c r="O28" s="440">
        <f t="shared" si="2"/>
        <v>0.28617217199730438</v>
      </c>
      <c r="P28" s="465">
        <f t="shared" si="3"/>
        <v>13.582014679942379</v>
      </c>
      <c r="Q28" s="440">
        <f t="shared" si="4"/>
        <v>13.105254348807129</v>
      </c>
      <c r="R28" s="440">
        <f t="shared" si="5"/>
        <v>14.058775011077628</v>
      </c>
      <c r="S28" s="466">
        <f t="shared" si="6"/>
        <v>560063.08130383911</v>
      </c>
      <c r="T28" s="440">
        <f t="shared" si="7"/>
        <v>313670655039.55072</v>
      </c>
      <c r="U28" s="466">
        <f t="shared" si="8"/>
        <v>791760.85935444757</v>
      </c>
      <c r="V28" s="467">
        <f t="shared" si="9"/>
        <v>491518.24985067302</v>
      </c>
      <c r="W28" s="467">
        <f t="shared" si="10"/>
        <v>1275405.864576027</v>
      </c>
      <c r="X28" s="468">
        <f t="shared" si="11"/>
        <v>-0.41430179216319379</v>
      </c>
      <c r="Y28" s="553">
        <f t="shared" si="12"/>
        <v>0.41430179216319379</v>
      </c>
      <c r="Z28" s="517">
        <f t="shared" si="13"/>
        <v>11.814132726468909</v>
      </c>
      <c r="AA28" s="471">
        <f t="shared" si="14"/>
        <v>13.597356173982117</v>
      </c>
      <c r="AB28" s="473">
        <f t="shared" si="15"/>
        <v>14.11696530569891</v>
      </c>
      <c r="AC28" s="801">
        <f t="shared" si="16"/>
        <v>82</v>
      </c>
      <c r="AD28" s="435">
        <f t="shared" si="17"/>
        <v>13.120595842846868</v>
      </c>
      <c r="AE28" s="441">
        <f t="shared" si="18"/>
        <v>14.074116505117367</v>
      </c>
    </row>
    <row r="29" spans="1:31">
      <c r="A29" s="134">
        <v>1978</v>
      </c>
      <c r="B29" s="440">
        <f t="shared" si="0"/>
        <v>1983</v>
      </c>
      <c r="C29" s="458">
        <f>VLOOKUP($A29,'Brd Tbl'!$A$8:$AX$64,17)</f>
        <v>12.793846775642196</v>
      </c>
      <c r="D29" s="458">
        <f>VLOOKUP($A29,'Brd Tbl'!$A$8:$AX$64,23)</f>
        <v>13.613528697493491</v>
      </c>
      <c r="E29" s="7">
        <v>47</v>
      </c>
      <c r="F29" s="7">
        <v>45</v>
      </c>
      <c r="G29" s="576">
        <v>7.4252147292460959</v>
      </c>
      <c r="H29" s="576">
        <v>0.52285267674312619</v>
      </c>
      <c r="I29" s="577">
        <v>7.6122082492006735E-2</v>
      </c>
      <c r="J29" s="7">
        <v>14.114511761732032</v>
      </c>
      <c r="K29" s="7">
        <v>0.34710949468130337</v>
      </c>
      <c r="L29" s="7">
        <v>0.51181284669284133</v>
      </c>
      <c r="M29" s="576">
        <v>0.12900626526766404</v>
      </c>
      <c r="N29" s="440">
        <f t="shared" si="1"/>
        <v>-0.50098306423854133</v>
      </c>
      <c r="O29" s="440">
        <f t="shared" si="2"/>
        <v>0.25098403065383845</v>
      </c>
      <c r="P29" s="465">
        <f t="shared" si="3"/>
        <v>14.114511761732032</v>
      </c>
      <c r="Q29" s="440">
        <f t="shared" si="4"/>
        <v>13.637751430596783</v>
      </c>
      <c r="R29" s="440">
        <f t="shared" si="5"/>
        <v>14.591272092867282</v>
      </c>
      <c r="S29" s="466">
        <f t="shared" si="6"/>
        <v>-531401.49697230873</v>
      </c>
      <c r="T29" s="440">
        <f t="shared" si="7"/>
        <v>282387550984.41064</v>
      </c>
      <c r="U29" s="466">
        <f t="shared" si="8"/>
        <v>1348511.2467662941</v>
      </c>
      <c r="V29" s="467">
        <f t="shared" si="9"/>
        <v>837144.04429506441</v>
      </c>
      <c r="W29" s="467">
        <f t="shared" si="10"/>
        <v>2172245.7384099034</v>
      </c>
      <c r="X29" s="468">
        <f t="shared" si="11"/>
        <v>0.65034286655652906</v>
      </c>
      <c r="Y29" s="553">
        <f t="shared" si="12"/>
        <v>0.65034286655652906</v>
      </c>
      <c r="Z29" s="517">
        <f t="shared" si="13"/>
        <v>12.793846775642196</v>
      </c>
      <c r="AA29" s="471">
        <f t="shared" si="14"/>
        <v>14.096300186693476</v>
      </c>
      <c r="AB29" s="473">
        <f t="shared" si="15"/>
        <v>13.613528697493491</v>
      </c>
      <c r="AC29" s="801">
        <f t="shared" si="16"/>
        <v>83</v>
      </c>
      <c r="AD29" s="435">
        <f t="shared" si="17"/>
        <v>13.619539855558227</v>
      </c>
      <c r="AE29" s="441">
        <f t="shared" si="18"/>
        <v>14.573060517828726</v>
      </c>
    </row>
    <row r="30" spans="1:31">
      <c r="A30" s="134">
        <v>1979</v>
      </c>
      <c r="B30" s="440">
        <f t="shared" si="0"/>
        <v>1984</v>
      </c>
      <c r="C30" s="458">
        <f>VLOOKUP($A30,'Brd Tbl'!$A$8:$AX$64,17)</f>
        <v>12.755644426092186</v>
      </c>
      <c r="D30" s="458">
        <f>VLOOKUP($A30,'Brd Tbl'!$A$8:$AX$64,23)</f>
        <v>14.169276530236562</v>
      </c>
      <c r="E30" s="7">
        <v>47</v>
      </c>
      <c r="F30" s="7">
        <v>45</v>
      </c>
      <c r="G30" s="576">
        <v>7.6083067446183072</v>
      </c>
      <c r="H30" s="576">
        <v>0.50685404343076201</v>
      </c>
      <c r="I30" s="577">
        <v>7.7660004631393428E-2</v>
      </c>
      <c r="J30" s="7">
        <v>14.073556698548193</v>
      </c>
      <c r="K30" s="7">
        <v>0.35448986311198827</v>
      </c>
      <c r="L30" s="7">
        <v>0.48627917095902573</v>
      </c>
      <c r="M30" s="576">
        <v>0.13415140876714038</v>
      </c>
      <c r="N30" s="440">
        <f t="shared" si="1"/>
        <v>9.5719831688368728E-2</v>
      </c>
      <c r="O30" s="440">
        <f t="shared" si="2"/>
        <v>9.1622861784496374E-3</v>
      </c>
      <c r="P30" s="465">
        <f t="shared" si="3"/>
        <v>14.073556698548193</v>
      </c>
      <c r="Q30" s="440">
        <f t="shared" si="4"/>
        <v>13.596796367412944</v>
      </c>
      <c r="R30" s="440">
        <f t="shared" si="5"/>
        <v>14.550317029683443</v>
      </c>
      <c r="S30" s="466">
        <f t="shared" si="6"/>
        <v>130023.25172326621</v>
      </c>
      <c r="T30" s="440">
        <f t="shared" si="7"/>
        <v>16906045988.691849</v>
      </c>
      <c r="U30" s="466">
        <f t="shared" si="8"/>
        <v>1294398.5415509334</v>
      </c>
      <c r="V30" s="467">
        <f t="shared" si="9"/>
        <v>803551.34790460963</v>
      </c>
      <c r="W30" s="467">
        <f t="shared" si="10"/>
        <v>2085078.4318117772</v>
      </c>
      <c r="X30" s="468">
        <f t="shared" si="11"/>
        <v>-9.1281425443788394E-2</v>
      </c>
      <c r="Y30" s="553">
        <f t="shared" si="12"/>
        <v>9.1281425443788394E-2</v>
      </c>
      <c r="Z30" s="517">
        <f t="shared" si="13"/>
        <v>12.755644426092186</v>
      </c>
      <c r="AA30" s="471">
        <f t="shared" si="14"/>
        <v>14.076844679654897</v>
      </c>
      <c r="AB30" s="473">
        <f t="shared" si="15"/>
        <v>14.169276530236562</v>
      </c>
      <c r="AC30" s="801">
        <f t="shared" si="16"/>
        <v>84</v>
      </c>
      <c r="AD30" s="435">
        <f t="shared" si="17"/>
        <v>13.600084348519648</v>
      </c>
      <c r="AE30" s="441">
        <f t="shared" si="18"/>
        <v>14.553605010790147</v>
      </c>
    </row>
    <row r="31" spans="1:31">
      <c r="A31" s="134">
        <v>1980</v>
      </c>
      <c r="B31" s="440">
        <f t="shared" si="0"/>
        <v>1985</v>
      </c>
      <c r="C31" s="458">
        <f>VLOOKUP($A31,'Brd Tbl'!$A$8:$AX$64,17)</f>
        <v>12.223216515315409</v>
      </c>
      <c r="D31" s="458">
        <f>VLOOKUP($A31,'Brd Tbl'!$A$8:$AX$64,23)</f>
        <v>13.858768146655043</v>
      </c>
      <c r="E31" s="7">
        <v>47</v>
      </c>
      <c r="F31" s="7">
        <v>45</v>
      </c>
      <c r="G31" s="576">
        <v>7.5796443701820335</v>
      </c>
      <c r="H31" s="576">
        <v>0.50927010246378379</v>
      </c>
      <c r="I31" s="577">
        <v>7.7162831259628195E-2</v>
      </c>
      <c r="J31" s="7">
        <v>13.804563097373727</v>
      </c>
      <c r="K31" s="7">
        <v>0.35467695548354422</v>
      </c>
      <c r="L31" s="7">
        <v>0.49186541949875434</v>
      </c>
      <c r="M31" s="576">
        <v>0.13428383640141398</v>
      </c>
      <c r="N31" s="440">
        <f t="shared" si="1"/>
        <v>5.420504928131642E-2</v>
      </c>
      <c r="O31" s="440">
        <f t="shared" si="2"/>
        <v>2.9381873675899416E-3</v>
      </c>
      <c r="P31" s="465">
        <f t="shared" si="3"/>
        <v>13.804563097373727</v>
      </c>
      <c r="Q31" s="440">
        <f t="shared" si="4"/>
        <v>13.327802766238477</v>
      </c>
      <c r="R31" s="440">
        <f t="shared" si="5"/>
        <v>14.281323428508976</v>
      </c>
      <c r="S31" s="466">
        <f t="shared" si="6"/>
        <v>55094.591299365857</v>
      </c>
      <c r="T31" s="440">
        <f t="shared" si="7"/>
        <v>3035413990.44416</v>
      </c>
      <c r="U31" s="466">
        <f t="shared" si="8"/>
        <v>989112.2447834484</v>
      </c>
      <c r="V31" s="467">
        <f t="shared" si="9"/>
        <v>614032.27214113751</v>
      </c>
      <c r="W31" s="467">
        <f t="shared" si="10"/>
        <v>1593308.8164390107</v>
      </c>
      <c r="X31" s="468">
        <f t="shared" si="11"/>
        <v>-5.2762143854607362E-2</v>
      </c>
      <c r="Y31" s="553">
        <f t="shared" si="12"/>
        <v>5.2762143854607362E-2</v>
      </c>
      <c r="Z31" s="517">
        <f t="shared" si="13"/>
        <v>12.223216515315409</v>
      </c>
      <c r="AA31" s="471">
        <f t="shared" si="14"/>
        <v>13.805692379137565</v>
      </c>
      <c r="AB31" s="473">
        <f t="shared" si="15"/>
        <v>13.858768146655043</v>
      </c>
      <c r="AC31" s="801">
        <f t="shared" si="16"/>
        <v>85</v>
      </c>
      <c r="AD31" s="435">
        <f t="shared" si="17"/>
        <v>13.328932048002315</v>
      </c>
      <c r="AE31" s="441">
        <f t="shared" si="18"/>
        <v>14.282452710272814</v>
      </c>
    </row>
    <row r="32" spans="1:31">
      <c r="A32" s="134">
        <v>1981</v>
      </c>
      <c r="B32" s="440">
        <f t="shared" si="0"/>
        <v>1986</v>
      </c>
      <c r="C32" s="458">
        <f>VLOOKUP($A32,'Brd Tbl'!$A$8:$AX$64,17)</f>
        <v>11.964532789893058</v>
      </c>
      <c r="D32" s="458">
        <f>VLOOKUP($A32,'Brd Tbl'!$A$8:$AX$64,23)</f>
        <v>13.500399551096667</v>
      </c>
      <c r="E32" s="7">
        <v>47</v>
      </c>
      <c r="F32" s="7">
        <v>45</v>
      </c>
      <c r="G32" s="576">
        <v>7.6108211613297936</v>
      </c>
      <c r="H32" s="576">
        <v>0.50711458430869849</v>
      </c>
      <c r="I32" s="577">
        <v>7.7094772875225648E-2</v>
      </c>
      <c r="J32" s="7">
        <v>13.678210233524204</v>
      </c>
      <c r="K32" s="7">
        <v>0.35379925455073657</v>
      </c>
      <c r="L32" s="7">
        <v>0.49018638852185914</v>
      </c>
      <c r="M32" s="576">
        <v>0.13367365658401489</v>
      </c>
      <c r="N32" s="525">
        <f t="shared" si="1"/>
        <v>-0.17781068242753761</v>
      </c>
      <c r="O32" s="440">
        <f t="shared" si="2"/>
        <v>3.161663878534663E-2</v>
      </c>
      <c r="P32" s="465">
        <f t="shared" si="3"/>
        <v>13.678210233524204</v>
      </c>
      <c r="Q32" s="440">
        <f t="shared" si="4"/>
        <v>13.201449902388955</v>
      </c>
      <c r="R32" s="440">
        <f t="shared" si="5"/>
        <v>14.154970564659454</v>
      </c>
      <c r="S32" s="466">
        <f t="shared" si="6"/>
        <v>-142000.52429346542</v>
      </c>
      <c r="T32" s="440">
        <f t="shared" si="7"/>
        <v>20164148899.619064</v>
      </c>
      <c r="U32" s="466">
        <f t="shared" si="8"/>
        <v>871708.39148182923</v>
      </c>
      <c r="V32" s="467">
        <f t="shared" si="9"/>
        <v>541148.98191688093</v>
      </c>
      <c r="W32" s="467">
        <f t="shared" si="10"/>
        <v>1404189.1330704803</v>
      </c>
      <c r="X32" s="468">
        <f t="shared" si="11"/>
        <v>0.19459914121606967</v>
      </c>
      <c r="Y32" s="553">
        <f t="shared" si="12"/>
        <v>0.19459914121606967</v>
      </c>
      <c r="Z32" s="517">
        <f t="shared" si="13"/>
        <v>11.964532789893058</v>
      </c>
      <c r="AA32" s="471">
        <f t="shared" si="14"/>
        <v>13.673951187823359</v>
      </c>
      <c r="AB32" s="473">
        <f t="shared" si="15"/>
        <v>13.500399551096667</v>
      </c>
      <c r="AC32" s="801">
        <f t="shared" si="16"/>
        <v>86</v>
      </c>
      <c r="AD32" s="435">
        <f t="shared" si="17"/>
        <v>13.19719085668811</v>
      </c>
      <c r="AE32" s="441">
        <f t="shared" si="18"/>
        <v>14.150711518958609</v>
      </c>
    </row>
    <row r="33" spans="1:35">
      <c r="A33" s="134">
        <v>1982</v>
      </c>
      <c r="B33" s="440">
        <f t="shared" si="0"/>
        <v>1987</v>
      </c>
      <c r="C33" s="458">
        <f>VLOOKUP($A33,'Brd Tbl'!$A$8:$AX$64,17)</f>
        <v>12.585188327865673</v>
      </c>
      <c r="D33" s="458">
        <f>VLOOKUP($A33,'Brd Tbl'!$A$8:$AX$64,23)</f>
        <v>14.123812821422923</v>
      </c>
      <c r="E33" s="7">
        <v>47</v>
      </c>
      <c r="F33" s="7">
        <v>45</v>
      </c>
      <c r="G33" s="576">
        <v>7.6067945763628568</v>
      </c>
      <c r="H33" s="576">
        <v>0.50690654765024434</v>
      </c>
      <c r="I33" s="577">
        <v>7.7304855646734422E-2</v>
      </c>
      <c r="J33" s="7">
        <v>13.986308943169396</v>
      </c>
      <c r="K33" s="7">
        <v>0.3541904859496019</v>
      </c>
      <c r="L33" s="7">
        <v>0.4886212891180321</v>
      </c>
      <c r="M33" s="576">
        <v>0.1339440676957295</v>
      </c>
      <c r="N33" s="440">
        <f t="shared" si="1"/>
        <v>0.13750387825352739</v>
      </c>
      <c r="O33" s="440">
        <f t="shared" si="2"/>
        <v>1.8907316534760882E-2</v>
      </c>
      <c r="P33" s="465">
        <f t="shared" si="3"/>
        <v>13.986308943169396</v>
      </c>
      <c r="Q33" s="440">
        <f t="shared" si="4"/>
        <v>13.509548612034147</v>
      </c>
      <c r="R33" s="440">
        <f t="shared" si="5"/>
        <v>14.463069274304646</v>
      </c>
      <c r="S33" s="466">
        <f t="shared" si="6"/>
        <v>174860.78224386205</v>
      </c>
      <c r="T33" s="440">
        <f t="shared" si="7"/>
        <v>30576293166.935341</v>
      </c>
      <c r="U33" s="466">
        <f t="shared" si="8"/>
        <v>1186251.5590456524</v>
      </c>
      <c r="V33" s="467">
        <f t="shared" si="9"/>
        <v>736414.6424971621</v>
      </c>
      <c r="W33" s="467">
        <f t="shared" si="10"/>
        <v>1910870.1540296485</v>
      </c>
      <c r="X33" s="468">
        <f t="shared" si="11"/>
        <v>-0.12846903002745488</v>
      </c>
      <c r="Y33" s="553">
        <f t="shared" si="12"/>
        <v>0.12846903002745488</v>
      </c>
      <c r="Z33" s="517">
        <f t="shared" si="13"/>
        <v>12.585188327865673</v>
      </c>
      <c r="AA33" s="471">
        <f t="shared" si="14"/>
        <v>13.990035625817175</v>
      </c>
      <c r="AB33" s="473">
        <f t="shared" si="15"/>
        <v>14.123812821422923</v>
      </c>
      <c r="AC33" s="801">
        <f t="shared" si="16"/>
        <v>87</v>
      </c>
      <c r="AD33" s="435">
        <f t="shared" si="17"/>
        <v>13.513275294681925</v>
      </c>
      <c r="AE33" s="441">
        <f t="shared" si="18"/>
        <v>14.466795956952424</v>
      </c>
    </row>
    <row r="34" spans="1:35">
      <c r="A34" s="134">
        <v>1983</v>
      </c>
      <c r="B34" s="440">
        <f t="shared" si="0"/>
        <v>1988</v>
      </c>
      <c r="C34" s="458">
        <f>VLOOKUP($A34,'Brd Tbl'!$A$8:$AX$64,17)</f>
        <v>11.642981829504725</v>
      </c>
      <c r="D34" s="458">
        <f>VLOOKUP($A34,'Brd Tbl'!$A$8:$AX$64,23)</f>
        <v>13.193528357920927</v>
      </c>
      <c r="E34" s="7">
        <v>47</v>
      </c>
      <c r="F34" s="7">
        <v>45</v>
      </c>
      <c r="G34" s="576">
        <v>7.6975158763024778</v>
      </c>
      <c r="H34" s="576">
        <v>0.50027806234915073</v>
      </c>
      <c r="I34" s="577">
        <v>7.7095506160966817E-2</v>
      </c>
      <c r="J34" s="7">
        <v>13.522244265933471</v>
      </c>
      <c r="K34" s="7">
        <v>0.35149182390278999</v>
      </c>
      <c r="L34" s="7">
        <v>0.48340001839513119</v>
      </c>
      <c r="M34" s="576">
        <v>0.13204732659688373</v>
      </c>
      <c r="N34" s="440">
        <f t="shared" si="1"/>
        <v>-0.32871590801254413</v>
      </c>
      <c r="O34" s="440">
        <f t="shared" si="2"/>
        <v>0.10805414818051137</v>
      </c>
      <c r="P34" s="465">
        <f t="shared" si="3"/>
        <v>13.522244265933471</v>
      </c>
      <c r="Q34" s="440">
        <f t="shared" si="4"/>
        <v>13.045483934798222</v>
      </c>
      <c r="R34" s="440">
        <f t="shared" si="5"/>
        <v>13.999004597068721</v>
      </c>
      <c r="S34" s="466">
        <f t="shared" si="6"/>
        <v>-208944.32716221374</v>
      </c>
      <c r="T34" s="440">
        <f t="shared" si="7"/>
        <v>43657731853.27021</v>
      </c>
      <c r="U34" s="466">
        <f t="shared" si="8"/>
        <v>745823.50739475794</v>
      </c>
      <c r="V34" s="467">
        <f t="shared" si="9"/>
        <v>463000.7416015148</v>
      </c>
      <c r="W34" s="467">
        <f t="shared" si="10"/>
        <v>1201407.8039239119</v>
      </c>
      <c r="X34" s="468">
        <f t="shared" si="11"/>
        <v>0.38918314372278595</v>
      </c>
      <c r="Y34" s="553">
        <f t="shared" si="12"/>
        <v>0.38918314372278595</v>
      </c>
      <c r="Z34" s="517">
        <f t="shared" si="13"/>
        <v>11.642981829504725</v>
      </c>
      <c r="AA34" s="471">
        <f t="shared" si="14"/>
        <v>13.510193276417755</v>
      </c>
      <c r="AB34" s="473">
        <f t="shared" si="15"/>
        <v>13.193528357920927</v>
      </c>
      <c r="AC34" s="801">
        <f t="shared" si="16"/>
        <v>88</v>
      </c>
      <c r="AD34" s="435">
        <f t="shared" si="17"/>
        <v>13.033432945282506</v>
      </c>
      <c r="AE34" s="441">
        <f t="shared" si="18"/>
        <v>13.986953607553005</v>
      </c>
    </row>
    <row r="35" spans="1:35">
      <c r="A35" s="134">
        <v>1984</v>
      </c>
      <c r="B35" s="440">
        <f t="shared" si="0"/>
        <v>1989</v>
      </c>
      <c r="C35" s="458">
        <f>VLOOKUP($A35,'Brd Tbl'!$A$8:$AX$64,17)</f>
        <v>12.593228770058985</v>
      </c>
      <c r="D35" s="458">
        <f>VLOOKUP($A35,'Brd Tbl'!$A$8:$AX$64,23)</f>
        <v>13.828371573710584</v>
      </c>
      <c r="E35" s="7">
        <v>47</v>
      </c>
      <c r="F35" s="7">
        <v>45</v>
      </c>
      <c r="G35" s="576">
        <v>7.5475920819173705</v>
      </c>
      <c r="H35" s="576">
        <v>0.51227569406896001</v>
      </c>
      <c r="I35" s="577">
        <v>7.7248472278141272E-2</v>
      </c>
      <c r="J35" s="7">
        <v>13.998797090668532</v>
      </c>
      <c r="K35" s="7">
        <v>0.35388120608109369</v>
      </c>
      <c r="L35" s="7">
        <v>0.49425253364680038</v>
      </c>
      <c r="M35" s="576">
        <v>0.13372837534901411</v>
      </c>
      <c r="N35" s="440">
        <f t="shared" si="1"/>
        <v>-0.17042551695794828</v>
      </c>
      <c r="O35" s="440">
        <f t="shared" si="2"/>
        <v>2.9044856830383915E-2</v>
      </c>
      <c r="P35" s="465">
        <f t="shared" si="3"/>
        <v>13.998797090668532</v>
      </c>
      <c r="Q35" s="440">
        <f t="shared" si="4"/>
        <v>13.522036759533282</v>
      </c>
      <c r="R35" s="440">
        <f t="shared" si="5"/>
        <v>14.475557421803781</v>
      </c>
      <c r="S35" s="466">
        <f t="shared" si="6"/>
        <v>-188214.45567939489</v>
      </c>
      <c r="T35" s="440">
        <f t="shared" si="7"/>
        <v>35424681326.690903</v>
      </c>
      <c r="U35" s="466">
        <f t="shared" si="8"/>
        <v>1201158.5299792248</v>
      </c>
      <c r="V35" s="467">
        <f t="shared" si="9"/>
        <v>745668.76029962371</v>
      </c>
      <c r="W35" s="467">
        <f t="shared" si="10"/>
        <v>1934883.0083241186</v>
      </c>
      <c r="X35" s="468">
        <f t="shared" si="11"/>
        <v>0.18580932595858565</v>
      </c>
      <c r="Y35" s="553">
        <f t="shared" si="12"/>
        <v>0.18580932595858565</v>
      </c>
      <c r="Z35" s="517">
        <f t="shared" si="13"/>
        <v>12.593228770058985</v>
      </c>
      <c r="AA35" s="471">
        <f t="shared" si="14"/>
        <v>13.994130423166759</v>
      </c>
      <c r="AB35" s="473">
        <f t="shared" si="15"/>
        <v>13.828371573710584</v>
      </c>
      <c r="AC35" s="801">
        <f t="shared" si="16"/>
        <v>89</v>
      </c>
      <c r="AD35" s="435">
        <f t="shared" si="17"/>
        <v>13.517370092031509</v>
      </c>
      <c r="AE35" s="441">
        <f t="shared" si="18"/>
        <v>14.470890754302008</v>
      </c>
    </row>
    <row r="36" spans="1:35">
      <c r="A36" s="134">
        <v>1985</v>
      </c>
      <c r="B36" s="440">
        <f t="shared" si="0"/>
        <v>1990</v>
      </c>
      <c r="C36" s="458">
        <f>VLOOKUP($A36,'Brd Tbl'!$A$8:$AX$64,17)</f>
        <v>12.391479356752267</v>
      </c>
      <c r="D36" s="458">
        <f>VLOOKUP($A36,'Brd Tbl'!$A$8:$AX$64,23)</f>
        <v>13.37144981129318</v>
      </c>
      <c r="E36" s="7">
        <v>47</v>
      </c>
      <c r="F36" s="7">
        <v>45</v>
      </c>
      <c r="G36" s="576">
        <v>7.5394303351229812</v>
      </c>
      <c r="H36" s="576">
        <v>0.51355945550780602</v>
      </c>
      <c r="I36" s="577">
        <v>7.5327818497393201E-2</v>
      </c>
      <c r="J36" s="7">
        <v>13.903191726512894</v>
      </c>
      <c r="K36" s="7">
        <v>0.34599981861066714</v>
      </c>
      <c r="L36" s="7">
        <v>0.50809182367886718</v>
      </c>
      <c r="M36" s="576">
        <v>0.12833040497515996</v>
      </c>
      <c r="N36" s="440">
        <f t="shared" si="1"/>
        <v>-0.53174191521971359</v>
      </c>
      <c r="O36" s="440">
        <f t="shared" si="2"/>
        <v>0.28274946440152909</v>
      </c>
      <c r="P36" s="465">
        <f t="shared" si="3"/>
        <v>13.903191726512894</v>
      </c>
      <c r="Q36" s="440">
        <f t="shared" si="4"/>
        <v>13.426431395377644</v>
      </c>
      <c r="R36" s="440">
        <f t="shared" si="5"/>
        <v>14.379952057648143</v>
      </c>
      <c r="S36" s="466">
        <f t="shared" si="6"/>
        <v>-450213.56224475405</v>
      </c>
      <c r="T36" s="440">
        <f t="shared" si="7"/>
        <v>202692251629.11102</v>
      </c>
      <c r="U36" s="466">
        <f t="shared" si="8"/>
        <v>1091640.0173666673</v>
      </c>
      <c r="V36" s="467">
        <f t="shared" si="9"/>
        <v>677680.62093963707</v>
      </c>
      <c r="W36" s="467">
        <f t="shared" si="10"/>
        <v>1758465.4049336377</v>
      </c>
      <c r="X36" s="468">
        <f t="shared" si="11"/>
        <v>0.70189428366995532</v>
      </c>
      <c r="Y36" s="553">
        <f t="shared" si="12"/>
        <v>0.70189428366995532</v>
      </c>
      <c r="Z36" s="517">
        <f t="shared" si="13"/>
        <v>12.391479356752267</v>
      </c>
      <c r="AA36" s="471">
        <f t="shared" si="14"/>
        <v>13.891384461809608</v>
      </c>
      <c r="AB36" s="473">
        <f t="shared" si="15"/>
        <v>13.37144981129318</v>
      </c>
      <c r="AC36" s="801">
        <f t="shared" si="16"/>
        <v>90</v>
      </c>
      <c r="AD36" s="435">
        <f t="shared" si="17"/>
        <v>13.414624130674358</v>
      </c>
      <c r="AE36" s="441">
        <f t="shared" si="18"/>
        <v>14.368144792944857</v>
      </c>
    </row>
    <row r="37" spans="1:35">
      <c r="A37" s="134">
        <v>1986</v>
      </c>
      <c r="B37" s="440">
        <f t="shared" si="0"/>
        <v>1991</v>
      </c>
      <c r="C37" s="458">
        <f>VLOOKUP($A37,'Brd Tbl'!$A$8:$AX$64,17)</f>
        <v>12.555611132914068</v>
      </c>
      <c r="D37" s="458">
        <f>VLOOKUP($A37,'Brd Tbl'!$A$8:$AX$64,23)</f>
        <v>14.072007751012482</v>
      </c>
      <c r="E37" s="7">
        <v>47</v>
      </c>
      <c r="F37" s="7">
        <v>45</v>
      </c>
      <c r="G37" s="576">
        <v>7.5979072695383563</v>
      </c>
      <c r="H37" s="576">
        <v>0.50769829777250441</v>
      </c>
      <c r="I37" s="577">
        <v>7.7325742841151082E-2</v>
      </c>
      <c r="J37" s="7">
        <v>13.972369669212334</v>
      </c>
      <c r="K37" s="7">
        <v>0.35446413426485129</v>
      </c>
      <c r="L37" s="7">
        <v>0.48926624884038983</v>
      </c>
      <c r="M37" s="576">
        <v>0.13413512235934541</v>
      </c>
      <c r="N37" s="440">
        <f t="shared" si="1"/>
        <v>9.963808180014766E-2</v>
      </c>
      <c r="O37" s="440">
        <f t="shared" si="2"/>
        <v>9.9277473448129167E-3</v>
      </c>
      <c r="P37" s="465">
        <f t="shared" si="3"/>
        <v>13.972369669212334</v>
      </c>
      <c r="Q37" s="440">
        <f t="shared" si="4"/>
        <v>13.495609338077085</v>
      </c>
      <c r="R37" s="440">
        <f t="shared" si="5"/>
        <v>14.449130000347584</v>
      </c>
      <c r="S37" s="466">
        <f t="shared" si="6"/>
        <v>122564.35181319248</v>
      </c>
      <c r="T37" s="440">
        <f t="shared" si="7"/>
        <v>15022020335.388018</v>
      </c>
      <c r="U37" s="466">
        <f t="shared" si="8"/>
        <v>1169830.7862905464</v>
      </c>
      <c r="V37" s="467">
        <f t="shared" si="9"/>
        <v>726220.76970031043</v>
      </c>
      <c r="W37" s="467">
        <f t="shared" si="10"/>
        <v>1884418.7961160887</v>
      </c>
      <c r="X37" s="468">
        <f t="shared" si="11"/>
        <v>-9.4835045567429541E-2</v>
      </c>
      <c r="Y37" s="553">
        <f t="shared" si="12"/>
        <v>9.4835045567429541E-2</v>
      </c>
      <c r="Z37" s="517">
        <f t="shared" si="13"/>
        <v>12.555611132914068</v>
      </c>
      <c r="AA37" s="480">
        <f t="shared" si="14"/>
        <v>13.97497269562203</v>
      </c>
      <c r="AB37" s="473">
        <f t="shared" si="15"/>
        <v>14.072007751012482</v>
      </c>
      <c r="AC37" s="801">
        <f t="shared" si="16"/>
        <v>91</v>
      </c>
      <c r="AD37" s="435">
        <f t="shared" si="17"/>
        <v>13.498212364486781</v>
      </c>
      <c r="AE37" s="441">
        <f t="shared" si="18"/>
        <v>14.45173302675728</v>
      </c>
    </row>
    <row r="38" spans="1:35">
      <c r="A38" s="134">
        <v>1987</v>
      </c>
      <c r="B38" s="440">
        <f t="shared" si="0"/>
        <v>1992</v>
      </c>
      <c r="C38" s="458">
        <f>VLOOKUP($A38,'Brd Tbl'!$A$8:$AX$64,17)</f>
        <v>12.345291589425951</v>
      </c>
      <c r="D38" s="458">
        <f>VLOOKUP($A38,'Brd Tbl'!$A$8:$AX$64,23)</f>
        <v>13.888105737944398</v>
      </c>
      <c r="E38" s="7">
        <v>47</v>
      </c>
      <c r="F38" s="7">
        <v>45</v>
      </c>
      <c r="G38" s="576">
        <v>7.5817655038819893</v>
      </c>
      <c r="H38" s="576">
        <v>0.50915367442192572</v>
      </c>
      <c r="I38" s="577">
        <v>7.7208292227507205E-2</v>
      </c>
      <c r="J38" s="7">
        <v>13.867416078448308</v>
      </c>
      <c r="K38" s="7">
        <v>0.35475395436121232</v>
      </c>
      <c r="L38" s="7">
        <v>0.4914567200244368</v>
      </c>
      <c r="M38" s="576">
        <v>0.13433724332391453</v>
      </c>
      <c r="N38" s="440">
        <f t="shared" si="1"/>
        <v>2.0689659496090584E-2</v>
      </c>
      <c r="O38" s="440">
        <f t="shared" si="2"/>
        <v>4.2806201006417128E-4</v>
      </c>
      <c r="P38" s="465">
        <f t="shared" si="3"/>
        <v>13.867416078448308</v>
      </c>
      <c r="Q38" s="440">
        <f t="shared" si="4"/>
        <v>13.390655747313058</v>
      </c>
      <c r="R38" s="440">
        <f t="shared" si="5"/>
        <v>14.344176409583557</v>
      </c>
      <c r="S38" s="466">
        <f t="shared" si="6"/>
        <v>22018.923006082885</v>
      </c>
      <c r="T38" s="440">
        <f t="shared" si="7"/>
        <v>484832970.34780616</v>
      </c>
      <c r="U38" s="466">
        <f t="shared" si="8"/>
        <v>1053276.2247843489</v>
      </c>
      <c r="V38" s="467">
        <f t="shared" si="9"/>
        <v>653864.71243025479</v>
      </c>
      <c r="W38" s="467">
        <f t="shared" si="10"/>
        <v>1696667.1921667662</v>
      </c>
      <c r="X38" s="468">
        <f t="shared" si="11"/>
        <v>-2.0477096963869342E-2</v>
      </c>
      <c r="Y38" s="553">
        <f t="shared" si="12"/>
        <v>2.0477096963869342E-2</v>
      </c>
      <c r="Z38" s="473">
        <f t="shared" si="13"/>
        <v>12.345291589425951</v>
      </c>
      <c r="AA38" s="480">
        <f t="shared" si="14"/>
        <v>13.867862179989299</v>
      </c>
      <c r="AB38" s="473">
        <f t="shared" si="15"/>
        <v>13.888105737944398</v>
      </c>
      <c r="AC38" s="801">
        <f t="shared" si="16"/>
        <v>92</v>
      </c>
      <c r="AD38" s="435">
        <f t="shared" si="17"/>
        <v>13.391101848854049</v>
      </c>
      <c r="AE38" s="441">
        <f t="shared" si="18"/>
        <v>14.344622511124548</v>
      </c>
    </row>
    <row r="39" spans="1:35">
      <c r="A39" s="134">
        <v>1988</v>
      </c>
      <c r="B39" s="440">
        <f t="shared" si="0"/>
        <v>1993</v>
      </c>
      <c r="C39" s="458">
        <f>VLOOKUP($A39,'Brd Tbl'!$A$8:$AX$64,17)</f>
        <v>12.379846726997387</v>
      </c>
      <c r="D39" s="458">
        <f>VLOOKUP($A39,'Brd Tbl'!$A$8:$AX$64,23)</f>
        <v>14.100673827299241</v>
      </c>
      <c r="E39" s="7">
        <v>47</v>
      </c>
      <c r="F39" s="7">
        <v>45</v>
      </c>
      <c r="G39" s="576">
        <v>7.5963156112099863</v>
      </c>
      <c r="H39" s="576">
        <v>0.50762325352852233</v>
      </c>
      <c r="I39" s="577">
        <v>7.6905817553119607E-2</v>
      </c>
      <c r="J39" s="7">
        <v>13.880613684952827</v>
      </c>
      <c r="K39" s="7">
        <v>0.35328067118604101</v>
      </c>
      <c r="L39" s="7">
        <v>0.49191409305830336</v>
      </c>
      <c r="M39" s="576">
        <v>0.13331600068052177</v>
      </c>
      <c r="N39" s="440">
        <f t="shared" si="1"/>
        <v>0.22006014234641391</v>
      </c>
      <c r="O39" s="440">
        <f t="shared" si="2"/>
        <v>4.8426466249523951E-2</v>
      </c>
      <c r="P39" s="465">
        <f t="shared" si="3"/>
        <v>13.880613684952827</v>
      </c>
      <c r="Q39" s="440">
        <f t="shared" si="4"/>
        <v>13.403853353817578</v>
      </c>
      <c r="R39" s="440">
        <f t="shared" si="5"/>
        <v>14.357374016088077</v>
      </c>
      <c r="S39" s="466">
        <f t="shared" si="6"/>
        <v>262710.07225249312</v>
      </c>
      <c r="T39" s="440">
        <f t="shared" si="7"/>
        <v>69016582062.910156</v>
      </c>
      <c r="U39" s="466">
        <f t="shared" si="8"/>
        <v>1067269.0829555916</v>
      </c>
      <c r="V39" s="467">
        <f t="shared" si="9"/>
        <v>662551.35698647285</v>
      </c>
      <c r="W39" s="467">
        <f t="shared" si="10"/>
        <v>1719207.5503606966</v>
      </c>
      <c r="X39" s="468">
        <f t="shared" si="11"/>
        <v>-0.19752946594970525</v>
      </c>
      <c r="Y39" s="553">
        <f t="shared" si="12"/>
        <v>0.19752946594970525</v>
      </c>
      <c r="Z39" s="473">
        <f t="shared" si="13"/>
        <v>12.379846726997387</v>
      </c>
      <c r="AA39" s="480">
        <f t="shared" si="14"/>
        <v>13.885460252625119</v>
      </c>
      <c r="AB39" s="473">
        <f t="shared" si="15"/>
        <v>14.100673827299241</v>
      </c>
      <c r="AC39" s="801">
        <f t="shared" si="16"/>
        <v>93</v>
      </c>
      <c r="AD39" s="435">
        <f t="shared" si="17"/>
        <v>13.40869992148987</v>
      </c>
      <c r="AE39" s="441">
        <f t="shared" si="18"/>
        <v>14.362220583760369</v>
      </c>
    </row>
    <row r="40" spans="1:35" ht="18">
      <c r="A40" s="134">
        <v>1989</v>
      </c>
      <c r="B40" s="440">
        <f t="shared" si="0"/>
        <v>1994</v>
      </c>
      <c r="C40" s="458">
        <f>VLOOKUP($A40,'Brd Tbl'!$A$8:$AX$64,17)</f>
        <v>12.428871221134534</v>
      </c>
      <c r="D40" s="458">
        <f>VLOOKUP($A40,'Brd Tbl'!$A$8:$AX$64,23)</f>
        <v>14.102620144485565</v>
      </c>
      <c r="E40" s="7">
        <v>47</v>
      </c>
      <c r="F40" s="7">
        <v>45</v>
      </c>
      <c r="G40" s="576">
        <v>7.6002365064289021</v>
      </c>
      <c r="H40" s="576">
        <v>0.50734226277947703</v>
      </c>
      <c r="I40" s="577">
        <v>7.7004685823993946E-2</v>
      </c>
      <c r="J40" s="7">
        <v>13.905928155554019</v>
      </c>
      <c r="K40" s="7">
        <v>0.35358112655869128</v>
      </c>
      <c r="L40" s="7">
        <v>0.49099513906644826</v>
      </c>
      <c r="M40" s="576">
        <v>0.13352320765370634</v>
      </c>
      <c r="N40" s="440">
        <f t="shared" si="1"/>
        <v>0.19669198893154594</v>
      </c>
      <c r="O40" s="440">
        <f t="shared" si="2"/>
        <v>3.8687738509847386E-2</v>
      </c>
      <c r="P40" s="465">
        <f t="shared" si="3"/>
        <v>13.905928155554019</v>
      </c>
      <c r="Q40" s="440">
        <f t="shared" ref="Q40:Q60" si="19">$P40-(SQRT($O$64)*$Q$64)</f>
        <v>13.429167824418769</v>
      </c>
      <c r="R40" s="440">
        <f t="shared" si="5"/>
        <v>14.382688486689268</v>
      </c>
      <c r="S40" s="466">
        <f t="shared" si="6"/>
        <v>237938.93354366231</v>
      </c>
      <c r="T40" s="440">
        <f t="shared" si="7"/>
        <v>56614936095.895348</v>
      </c>
      <c r="U40" s="466">
        <f t="shared" si="8"/>
        <v>1094631.3036674222</v>
      </c>
      <c r="V40" s="467">
        <f t="shared" si="9"/>
        <v>679537.58543842274</v>
      </c>
      <c r="W40" s="467">
        <f t="shared" si="10"/>
        <v>1763283.9104780001</v>
      </c>
      <c r="X40" s="468">
        <f t="shared" si="11"/>
        <v>-0.17855639192545752</v>
      </c>
      <c r="Y40" s="553">
        <f t="shared" si="12"/>
        <v>0.17855639192545752</v>
      </c>
      <c r="Z40" s="471">
        <f t="shared" si="13"/>
        <v>12.428871221134534</v>
      </c>
      <c r="AA40" s="480">
        <f t="shared" si="14"/>
        <v>13.910427208898302</v>
      </c>
      <c r="AB40" s="441">
        <f t="shared" si="15"/>
        <v>14.102620144485565</v>
      </c>
      <c r="AC40" s="801">
        <f t="shared" si="16"/>
        <v>94</v>
      </c>
      <c r="AD40" s="435">
        <f t="shared" si="17"/>
        <v>13.433666877763052</v>
      </c>
      <c r="AE40" s="441">
        <f t="shared" si="18"/>
        <v>14.387187540033551</v>
      </c>
      <c r="AH40" s="54" t="s">
        <v>317</v>
      </c>
      <c r="AI40" s="440">
        <f>ROUND(L62,5)</f>
        <v>0.49174000000000001</v>
      </c>
    </row>
    <row r="41" spans="1:35">
      <c r="A41" s="134">
        <v>1990</v>
      </c>
      <c r="B41" s="440">
        <f t="shared" si="0"/>
        <v>1995</v>
      </c>
      <c r="C41" s="458">
        <f>VLOOKUP($A41,'Brd Tbl'!$A$8:$AX$64,17)</f>
        <v>12.258436364026526</v>
      </c>
      <c r="D41" s="458">
        <f>VLOOKUP($A41,'Brd Tbl'!$A$8:$AX$64,23)</f>
        <v>13.874070782802761</v>
      </c>
      <c r="E41" s="7">
        <v>47</v>
      </c>
      <c r="F41" s="7">
        <v>45</v>
      </c>
      <c r="G41" s="576">
        <v>7.580746869383967</v>
      </c>
      <c r="H41" s="576">
        <v>0.50918447055783678</v>
      </c>
      <c r="I41" s="577">
        <v>7.7167299599445599E-2</v>
      </c>
      <c r="J41" s="7">
        <v>13.822552299267748</v>
      </c>
      <c r="K41" s="7">
        <v>0.35468567345141294</v>
      </c>
      <c r="L41" s="7">
        <v>0.49175241646679108</v>
      </c>
      <c r="M41" s="576">
        <v>0.13428987966145317</v>
      </c>
      <c r="N41" s="440">
        <f t="shared" si="1"/>
        <v>5.1518483535012649E-2</v>
      </c>
      <c r="O41" s="440">
        <f t="shared" si="2"/>
        <v>2.6541541457473696E-3</v>
      </c>
      <c r="P41" s="465">
        <f t="shared" si="3"/>
        <v>13.822552299267748</v>
      </c>
      <c r="Q41" s="440">
        <f t="shared" si="19"/>
        <v>13.345791968132499</v>
      </c>
      <c r="R41" s="440">
        <f t="shared" si="5"/>
        <v>14.299312630402998</v>
      </c>
      <c r="S41" s="466">
        <f t="shared" si="6"/>
        <v>53242.248038627207</v>
      </c>
      <c r="T41" s="440">
        <f t="shared" si="7"/>
        <v>2834736976.2067027</v>
      </c>
      <c r="U41" s="466">
        <f t="shared" si="8"/>
        <v>1007066.5926617994</v>
      </c>
      <c r="V41" s="467">
        <f t="shared" si="9"/>
        <v>625178.17502597126</v>
      </c>
      <c r="W41" s="467">
        <f t="shared" si="10"/>
        <v>1622230.5297418854</v>
      </c>
      <c r="X41" s="468">
        <f t="shared" si="11"/>
        <v>-5.0213905604574657E-2</v>
      </c>
      <c r="Y41" s="553">
        <f t="shared" si="12"/>
        <v>5.0213905604574657E-2</v>
      </c>
      <c r="Z41" s="471">
        <f t="shared" si="13"/>
        <v>12.258436364026526</v>
      </c>
      <c r="AA41" s="480">
        <f t="shared" si="14"/>
        <v>13.823628972634246</v>
      </c>
      <c r="AB41" s="441">
        <f t="shared" si="15"/>
        <v>13.874070782802761</v>
      </c>
      <c r="AC41" s="801">
        <f t="shared" si="16"/>
        <v>95</v>
      </c>
      <c r="AD41" s="435">
        <f t="shared" si="17"/>
        <v>13.346868641498997</v>
      </c>
      <c r="AE41" s="441">
        <f t="shared" si="18"/>
        <v>14.300389303769496</v>
      </c>
      <c r="AH41" s="54" t="s">
        <v>202</v>
      </c>
      <c r="AI41" s="458">
        <f>ROUND(H62,5)</f>
        <v>0.50927999999999995</v>
      </c>
    </row>
    <row r="42" spans="1:35">
      <c r="A42" s="134">
        <v>1991</v>
      </c>
      <c r="B42" s="440">
        <f t="shared" si="0"/>
        <v>1996</v>
      </c>
      <c r="C42" s="458">
        <f>VLOOKUP($A42,'Brd Tbl'!$A$8:$AX$64,17)</f>
        <v>13.002996181295167</v>
      </c>
      <c r="D42" s="458">
        <f>VLOOKUP($A42,'Brd Tbl'!$A$8:$AX$64,23)</f>
        <v>14.50323529563542</v>
      </c>
      <c r="E42" s="7">
        <v>47</v>
      </c>
      <c r="F42" s="7">
        <v>45</v>
      </c>
      <c r="G42" s="576">
        <v>7.7170894697019206</v>
      </c>
      <c r="H42" s="576">
        <v>0.49757716568311433</v>
      </c>
      <c r="I42" s="577">
        <v>7.7688625772747752E-2</v>
      </c>
      <c r="J42" s="7">
        <v>14.187083454979128</v>
      </c>
      <c r="K42" s="7">
        <v>0.35177982064134383</v>
      </c>
      <c r="L42" s="7">
        <v>0.47687178987331885</v>
      </c>
      <c r="M42" s="576">
        <v>0.13221971301880181</v>
      </c>
      <c r="N42" s="440">
        <f t="shared" si="1"/>
        <v>0.31615184065629265</v>
      </c>
      <c r="O42" s="440">
        <f t="shared" si="2"/>
        <v>9.9951986350361857E-2</v>
      </c>
      <c r="P42" s="465">
        <f t="shared" si="3"/>
        <v>14.187083454979128</v>
      </c>
      <c r="Q42" s="440">
        <f t="shared" si="19"/>
        <v>13.710323123843878</v>
      </c>
      <c r="R42" s="440">
        <f t="shared" si="5"/>
        <v>14.663843786114377</v>
      </c>
      <c r="S42" s="466">
        <f t="shared" si="6"/>
        <v>539170.92012840067</v>
      </c>
      <c r="T42" s="440">
        <f t="shared" si="7"/>
        <v>290705281112.1062</v>
      </c>
      <c r="U42" s="466">
        <f t="shared" si="8"/>
        <v>1450013.543907691</v>
      </c>
      <c r="V42" s="467">
        <f t="shared" si="9"/>
        <v>900155.78686521342</v>
      </c>
      <c r="W42" s="467">
        <f t="shared" si="10"/>
        <v>2335750.44252931</v>
      </c>
      <c r="X42" s="468">
        <f t="shared" si="11"/>
        <v>-0.27105124229374533</v>
      </c>
      <c r="Y42" s="553">
        <f t="shared" si="12"/>
        <v>0.27105124229374533</v>
      </c>
      <c r="Z42" s="471">
        <f t="shared" si="13"/>
        <v>13.002996181295167</v>
      </c>
      <c r="AA42" s="480">
        <f t="shared" si="14"/>
        <v>14.20281478021262</v>
      </c>
      <c r="AB42" s="441">
        <f t="shared" si="15"/>
        <v>14.50323529563542</v>
      </c>
      <c r="AC42" s="801">
        <f t="shared" si="16"/>
        <v>96</v>
      </c>
      <c r="AD42" s="435">
        <f t="shared" si="17"/>
        <v>13.72605444907737</v>
      </c>
      <c r="AE42" s="441">
        <f t="shared" si="18"/>
        <v>14.679575111347869</v>
      </c>
      <c r="AH42" s="54" t="s">
        <v>182</v>
      </c>
      <c r="AI42" s="510">
        <f>X65</f>
        <v>4.2761584689373161E-2</v>
      </c>
    </row>
    <row r="43" spans="1:35">
      <c r="A43" s="134">
        <v>1992</v>
      </c>
      <c r="B43" s="440">
        <f t="shared" si="0"/>
        <v>1997</v>
      </c>
      <c r="C43" s="458">
        <f>VLOOKUP($A43,'Brd Tbl'!$A$8:$AX$64,17)</f>
        <v>13.133155005618168</v>
      </c>
      <c r="D43" s="458">
        <f>VLOOKUP($A43,'Brd Tbl'!$A$8:$AX$64,23)</f>
        <v>14.697313220380199</v>
      </c>
      <c r="E43" s="7">
        <v>47</v>
      </c>
      <c r="F43" s="7">
        <v>45</v>
      </c>
      <c r="G43" s="576">
        <v>7.8115642668006808</v>
      </c>
      <c r="H43" s="576">
        <v>0.4896090166453822</v>
      </c>
      <c r="I43" s="577">
        <v>7.7413179336436516E-2</v>
      </c>
      <c r="J43" s="7">
        <v>14.24167537455277</v>
      </c>
      <c r="K43" s="7">
        <v>0.34860279537793626</v>
      </c>
      <c r="L43" s="7">
        <v>0.47059340662001858</v>
      </c>
      <c r="M43" s="576">
        <v>0.12992920535497421</v>
      </c>
      <c r="N43" s="440">
        <f t="shared" si="1"/>
        <v>0.45563784582742883</v>
      </c>
      <c r="O43" s="440">
        <f t="shared" si="2"/>
        <v>0.20760584655025982</v>
      </c>
      <c r="P43" s="465">
        <f t="shared" si="3"/>
        <v>14.24167537455277</v>
      </c>
      <c r="Q43" s="440">
        <f t="shared" si="19"/>
        <v>13.76491504341752</v>
      </c>
      <c r="R43" s="440">
        <f t="shared" si="5"/>
        <v>14.71843570568802</v>
      </c>
      <c r="S43" s="466">
        <f t="shared" si="6"/>
        <v>883876.514248149</v>
      </c>
      <c r="T43" s="440">
        <f t="shared" si="7"/>
        <v>781237692439.45837</v>
      </c>
      <c r="U43" s="466">
        <f t="shared" si="8"/>
        <v>1531373.1500331936</v>
      </c>
      <c r="V43" s="467">
        <f t="shared" si="9"/>
        <v>950663.12217849516</v>
      </c>
      <c r="W43" s="467">
        <f t="shared" si="10"/>
        <v>2466808.3466503429</v>
      </c>
      <c r="X43" s="468">
        <f t="shared" si="11"/>
        <v>-0.3659565830065632</v>
      </c>
      <c r="Y43" s="553">
        <f t="shared" si="12"/>
        <v>0.3659565830065632</v>
      </c>
      <c r="Z43" s="471">
        <f t="shared" si="13"/>
        <v>13.133155005618168</v>
      </c>
      <c r="AA43" s="480">
        <f t="shared" si="14"/>
        <v>14.269101434111594</v>
      </c>
      <c r="AB43" s="441">
        <f t="shared" si="15"/>
        <v>14.697313220380199</v>
      </c>
      <c r="AC43" s="801">
        <f t="shared" si="16"/>
        <v>97</v>
      </c>
      <c r="AD43" s="435">
        <f t="shared" si="17"/>
        <v>13.792341102976344</v>
      </c>
      <c r="AE43" s="441">
        <f t="shared" si="18"/>
        <v>14.745861765246843</v>
      </c>
      <c r="AH43" s="54"/>
      <c r="AI43" s="11"/>
    </row>
    <row r="44" spans="1:35">
      <c r="A44" s="134">
        <v>1993</v>
      </c>
      <c r="B44" s="440">
        <f t="shared" si="0"/>
        <v>1998</v>
      </c>
      <c r="C44" s="458">
        <f>VLOOKUP($A44,'Brd Tbl'!$A$8:$AX$64,17)</f>
        <v>12.418977384077587</v>
      </c>
      <c r="D44" s="458">
        <f>VLOOKUP($A44,'Brd Tbl'!$A$8:$AX$64,23)</f>
        <v>13.922491248798858</v>
      </c>
      <c r="E44" s="7">
        <v>47</v>
      </c>
      <c r="F44" s="7">
        <v>45</v>
      </c>
      <c r="G44" s="576">
        <v>7.582348977116717</v>
      </c>
      <c r="H44" s="576">
        <v>0.50911136980170779</v>
      </c>
      <c r="I44" s="577">
        <v>7.7253422230841293E-2</v>
      </c>
      <c r="J44" s="7">
        <v>13.904991564660886</v>
      </c>
      <c r="K44" s="7">
        <v>0.35475769840848081</v>
      </c>
      <c r="L44" s="7">
        <v>0.49112309953248312</v>
      </c>
      <c r="M44" s="576">
        <v>0.1343398353040238</v>
      </c>
      <c r="N44" s="440">
        <f t="shared" si="1"/>
        <v>1.7499684137971983E-2</v>
      </c>
      <c r="O44" s="440">
        <f t="shared" si="2"/>
        <v>3.0623894492878823E-4</v>
      </c>
      <c r="P44" s="465">
        <f t="shared" si="3"/>
        <v>13.904991564660886</v>
      </c>
      <c r="Q44" s="440">
        <f t="shared" si="19"/>
        <v>13.428231233525636</v>
      </c>
      <c r="R44" s="440">
        <f t="shared" si="5"/>
        <v>14.381751895796135</v>
      </c>
      <c r="S44" s="466">
        <f t="shared" si="6"/>
        <v>19306.202941307565</v>
      </c>
      <c r="T44" s="440">
        <f t="shared" si="7"/>
        <v>372729472.01095289</v>
      </c>
      <c r="U44" s="466">
        <f t="shared" si="8"/>
        <v>1093606.5619138749</v>
      </c>
      <c r="V44" s="467">
        <f t="shared" si="9"/>
        <v>678901.4346773671</v>
      </c>
      <c r="W44" s="467">
        <f t="shared" si="10"/>
        <v>1761633.207962577</v>
      </c>
      <c r="X44" s="468">
        <f t="shared" si="11"/>
        <v>-1.7347453952349788E-2</v>
      </c>
      <c r="Y44" s="553">
        <f t="shared" si="12"/>
        <v>1.7347453952349788E-2</v>
      </c>
      <c r="Z44" s="471">
        <f t="shared" si="13"/>
        <v>12.418977384077587</v>
      </c>
      <c r="AA44" s="480">
        <f t="shared" si="14"/>
        <v>13.905388523614089</v>
      </c>
      <c r="AB44" s="441">
        <f t="shared" si="15"/>
        <v>13.922491248798858</v>
      </c>
      <c r="AC44" s="801">
        <f t="shared" si="16"/>
        <v>98</v>
      </c>
      <c r="AD44" s="435">
        <f t="shared" si="17"/>
        <v>13.42862819247884</v>
      </c>
      <c r="AE44" s="441">
        <f t="shared" si="18"/>
        <v>14.382148854749339</v>
      </c>
      <c r="AH44" s="54"/>
      <c r="AI44" s="11"/>
    </row>
    <row r="45" spans="1:35">
      <c r="A45" s="134">
        <v>1994</v>
      </c>
      <c r="B45" s="440">
        <f t="shared" si="0"/>
        <v>1999</v>
      </c>
      <c r="C45" s="458">
        <f>VLOOKUP($A45,'Brd Tbl'!$A$8:$AX$64,17)</f>
        <v>12.511596953312337</v>
      </c>
      <c r="D45" s="458">
        <f>VLOOKUP($A45,'Brd Tbl'!$A$8:$AX$64,23)</f>
        <v>14.011595524522779</v>
      </c>
      <c r="E45" s="7">
        <v>47</v>
      </c>
      <c r="F45" s="7">
        <v>45</v>
      </c>
      <c r="G45" s="576">
        <v>7.5896186400321</v>
      </c>
      <c r="H45" s="576">
        <v>0.50844316028214487</v>
      </c>
      <c r="I45" s="577">
        <v>7.7315761727580132E-2</v>
      </c>
      <c r="J45" s="7">
        <v>13.951054535150679</v>
      </c>
      <c r="K45" s="7">
        <v>0.35465511165343117</v>
      </c>
      <c r="L45" s="7">
        <v>0.49006348192451682</v>
      </c>
      <c r="M45" s="576">
        <v>0.13426836780510415</v>
      </c>
      <c r="N45" s="440">
        <f t="shared" si="1"/>
        <v>6.0540989372100285E-2</v>
      </c>
      <c r="O45" s="440">
        <f t="shared" si="2"/>
        <v>3.6652113941527597E-3</v>
      </c>
      <c r="P45" s="465">
        <f t="shared" si="3"/>
        <v>13.951054535150679</v>
      </c>
      <c r="Q45" s="440">
        <f t="shared" si="19"/>
        <v>13.474294204015429</v>
      </c>
      <c r="R45" s="440">
        <f t="shared" si="5"/>
        <v>14.427814866285928</v>
      </c>
      <c r="S45" s="466">
        <f t="shared" si="6"/>
        <v>71470.718207834288</v>
      </c>
      <c r="T45" s="440">
        <f t="shared" si="7"/>
        <v>5108063561.1436558</v>
      </c>
      <c r="U45" s="466">
        <f t="shared" si="8"/>
        <v>1145159.5556223271</v>
      </c>
      <c r="V45" s="467">
        <f t="shared" si="9"/>
        <v>710905.08444454696</v>
      </c>
      <c r="W45" s="467">
        <f t="shared" si="10"/>
        <v>1844677.2101197687</v>
      </c>
      <c r="X45" s="468">
        <f t="shared" si="11"/>
        <v>-5.8744813231411848E-2</v>
      </c>
      <c r="Y45" s="553">
        <f t="shared" si="12"/>
        <v>5.8744813231411848E-2</v>
      </c>
      <c r="Z45" s="471">
        <f t="shared" si="13"/>
        <v>12.511596953312337</v>
      </c>
      <c r="AA45" s="480">
        <f t="shared" si="14"/>
        <v>13.952557368001468</v>
      </c>
      <c r="AB45" s="441">
        <f t="shared" si="15"/>
        <v>14.011595524522779</v>
      </c>
      <c r="AC45" s="801">
        <f t="shared" si="16"/>
        <v>99</v>
      </c>
      <c r="AD45" s="435">
        <f t="shared" si="17"/>
        <v>13.475797036866219</v>
      </c>
      <c r="AE45" s="441">
        <f t="shared" si="18"/>
        <v>14.429317699136718</v>
      </c>
      <c r="AH45" s="54"/>
      <c r="AI45" s="11"/>
    </row>
    <row r="46" spans="1:35">
      <c r="A46" s="134">
        <v>1995</v>
      </c>
      <c r="B46" s="440">
        <f t="shared" si="0"/>
        <v>2000</v>
      </c>
      <c r="C46" s="458">
        <f>VLOOKUP($A46,'Brd Tbl'!$A$8:$AX$64,17)</f>
        <v>12.2982204445282</v>
      </c>
      <c r="D46" s="458">
        <f>VLOOKUP($A46,'Brd Tbl'!$A$8:$AX$64,23)</f>
        <v>13.74269233377956</v>
      </c>
      <c r="E46" s="7">
        <v>47</v>
      </c>
      <c r="F46" s="7">
        <v>45</v>
      </c>
      <c r="G46" s="576">
        <v>7.5782630368295587</v>
      </c>
      <c r="H46" s="576">
        <v>0.50965176256185762</v>
      </c>
      <c r="I46" s="577">
        <v>7.7122155094154807E-2</v>
      </c>
      <c r="J46" s="7">
        <v>13.846072762757629</v>
      </c>
      <c r="K46" s="7">
        <v>0.35443926101190931</v>
      </c>
      <c r="L46" s="7">
        <v>0.49250347904478092</v>
      </c>
      <c r="M46" s="576">
        <v>0.13411895713060334</v>
      </c>
      <c r="N46" s="440">
        <f t="shared" si="1"/>
        <v>-0.10338042897806865</v>
      </c>
      <c r="O46" s="440">
        <f t="shared" si="2"/>
        <v>1.0687513095689497E-2</v>
      </c>
      <c r="P46" s="465">
        <f t="shared" si="3"/>
        <v>13.846072762757629</v>
      </c>
      <c r="Q46" s="440">
        <f t="shared" si="19"/>
        <v>13.369312431622379</v>
      </c>
      <c r="R46" s="440">
        <f t="shared" si="5"/>
        <v>14.322833093892879</v>
      </c>
      <c r="S46" s="466">
        <f t="shared" si="6"/>
        <v>-101264.1989787888</v>
      </c>
      <c r="T46" s="440">
        <f t="shared" si="7"/>
        <v>10254437994.815731</v>
      </c>
      <c r="U46" s="466">
        <f t="shared" si="8"/>
        <v>1031034.023312424</v>
      </c>
      <c r="V46" s="467">
        <f t="shared" si="9"/>
        <v>640056.94735682057</v>
      </c>
      <c r="W46" s="467">
        <f t="shared" si="10"/>
        <v>1660838.401360532</v>
      </c>
      <c r="X46" s="468">
        <f t="shared" si="11"/>
        <v>0.10891319155401147</v>
      </c>
      <c r="Y46" s="553">
        <f t="shared" si="12"/>
        <v>0.10891319155401147</v>
      </c>
      <c r="Z46" s="471">
        <f t="shared" si="13"/>
        <v>12.2982204445282</v>
      </c>
      <c r="AA46" s="480">
        <f t="shared" si="14"/>
        <v>13.843890015929777</v>
      </c>
      <c r="AB46" s="441">
        <f t="shared" si="15"/>
        <v>13.74269233377956</v>
      </c>
      <c r="AC46" s="976" t="s">
        <v>315</v>
      </c>
      <c r="AD46" s="435">
        <f t="shared" si="17"/>
        <v>13.367129684794527</v>
      </c>
      <c r="AE46" s="441">
        <f t="shared" si="18"/>
        <v>14.320650347065026</v>
      </c>
      <c r="AH46" s="54"/>
      <c r="AI46" s="11"/>
    </row>
    <row r="47" spans="1:35">
      <c r="A47" s="134">
        <v>1996</v>
      </c>
      <c r="B47" s="440">
        <f t="shared" si="0"/>
        <v>2001</v>
      </c>
      <c r="C47" s="458">
        <f>VLOOKUP($A47,'Brd Tbl'!$A$8:$AX$64,17)</f>
        <v>11.24254472532397</v>
      </c>
      <c r="D47" s="458">
        <f>VLOOKUP($A47,'Brd Tbl'!$A$8:$AX$64,23)</f>
        <v>14.32895948682159</v>
      </c>
      <c r="E47" s="7">
        <v>47</v>
      </c>
      <c r="F47" s="7">
        <v>45</v>
      </c>
      <c r="G47" s="576">
        <v>6.9378857076508442</v>
      </c>
      <c r="H47" s="576">
        <v>0.56000729140797645</v>
      </c>
      <c r="I47" s="577">
        <v>7.0789089505157998E-2</v>
      </c>
      <c r="J47" s="7">
        <v>13.233792727812553</v>
      </c>
      <c r="K47" s="7">
        <v>0.317758104612963</v>
      </c>
      <c r="L47" s="7">
        <v>0.58171736703684562</v>
      </c>
      <c r="M47" s="576">
        <v>0.10882740996161037</v>
      </c>
      <c r="N47" s="440">
        <f t="shared" si="1"/>
        <v>1.0951667590090377</v>
      </c>
      <c r="O47" s="440">
        <f t="shared" si="2"/>
        <v>1.1993902300383597</v>
      </c>
      <c r="P47" s="465">
        <f t="shared" si="3"/>
        <v>13.233792727812553</v>
      </c>
      <c r="Q47" s="440">
        <f t="shared" si="19"/>
        <v>12.757032396677303</v>
      </c>
      <c r="R47" s="440">
        <f t="shared" si="5"/>
        <v>13.710553058947802</v>
      </c>
      <c r="S47" s="466">
        <f t="shared" si="6"/>
        <v>1112107.1997015807</v>
      </c>
      <c r="T47" s="440">
        <f t="shared" si="7"/>
        <v>1236782423628.0916</v>
      </c>
      <c r="U47" s="466">
        <f t="shared" si="8"/>
        <v>558937.38190994202</v>
      </c>
      <c r="V47" s="467">
        <f t="shared" si="9"/>
        <v>346983.46159279451</v>
      </c>
      <c r="W47" s="467">
        <f t="shared" si="10"/>
        <v>900362.78807712474</v>
      </c>
      <c r="X47" s="468">
        <f t="shared" si="11"/>
        <v>-0.66551617589345602</v>
      </c>
      <c r="Y47" s="553">
        <f t="shared" si="12"/>
        <v>0.66551617589345602</v>
      </c>
      <c r="Z47" s="471">
        <f t="shared" si="13"/>
        <v>11.24254472532397</v>
      </c>
      <c r="AA47" s="480">
        <f t="shared" si="14"/>
        <v>13.306260612833871</v>
      </c>
      <c r="AB47" s="441">
        <f t="shared" si="15"/>
        <v>14.32895948682159</v>
      </c>
      <c r="AC47" s="976" t="s">
        <v>316</v>
      </c>
      <c r="AD47" s="435">
        <f t="shared" si="17"/>
        <v>12.829500281698621</v>
      </c>
      <c r="AE47" s="441">
        <f t="shared" si="18"/>
        <v>13.78302094396912</v>
      </c>
      <c r="AH47" s="54"/>
      <c r="AI47" s="11"/>
    </row>
    <row r="48" spans="1:35">
      <c r="A48" s="134">
        <v>1997</v>
      </c>
      <c r="B48" s="440">
        <f t="shared" si="0"/>
        <v>2002</v>
      </c>
      <c r="C48" s="458">
        <f>VLOOKUP($A48,'Brd Tbl'!$A$8:$AX$64,17)</f>
        <v>11.519344460525044</v>
      </c>
      <c r="D48" s="458">
        <f>VLOOKUP($A48,'Brd Tbl'!$A$8:$AX$64,23)</f>
        <v>14.039363355788447</v>
      </c>
      <c r="E48" s="7">
        <v>47</v>
      </c>
      <c r="F48" s="7">
        <v>45</v>
      </c>
      <c r="G48" s="576">
        <v>7.3162827842169573</v>
      </c>
      <c r="H48" s="576">
        <v>0.52985595378156369</v>
      </c>
      <c r="I48" s="577">
        <v>7.5546143985248046E-2</v>
      </c>
      <c r="J48" s="7">
        <v>13.419876030286826</v>
      </c>
      <c r="K48" s="7">
        <v>0.34308615535749365</v>
      </c>
      <c r="L48" s="7">
        <v>0.52225044041151825</v>
      </c>
      <c r="M48" s="576">
        <v>0.1261811479101467</v>
      </c>
      <c r="N48" s="440">
        <f t="shared" si="1"/>
        <v>0.61948732550162156</v>
      </c>
      <c r="O48" s="440">
        <f t="shared" si="2"/>
        <v>0.38376454645715202</v>
      </c>
      <c r="P48" s="465">
        <f t="shared" si="3"/>
        <v>13.419876030286826</v>
      </c>
      <c r="Q48" s="440">
        <f t="shared" si="19"/>
        <v>12.943115699151576</v>
      </c>
      <c r="R48" s="440">
        <f t="shared" si="5"/>
        <v>13.896636361422075</v>
      </c>
      <c r="S48" s="466">
        <f t="shared" si="6"/>
        <v>577634.16639604967</v>
      </c>
      <c r="T48" s="440">
        <f t="shared" si="7"/>
        <v>333661230188.0592</v>
      </c>
      <c r="U48" s="466">
        <f t="shared" si="8"/>
        <v>673252.70620987809</v>
      </c>
      <c r="V48" s="467">
        <f t="shared" si="9"/>
        <v>417949.41989594797</v>
      </c>
      <c r="W48" s="467">
        <f t="shared" si="10"/>
        <v>1084507.3227563507</v>
      </c>
      <c r="X48" s="468">
        <f t="shared" si="11"/>
        <v>-0.46177970130319229</v>
      </c>
      <c r="Y48" s="553">
        <f t="shared" si="12"/>
        <v>0.46177970130319229</v>
      </c>
      <c r="Z48" s="471">
        <f t="shared" si="13"/>
        <v>11.519344460525044</v>
      </c>
      <c r="AA48" s="480">
        <f t="shared" si="14"/>
        <v>13.44722783762278</v>
      </c>
      <c r="AB48" s="441">
        <f t="shared" si="15"/>
        <v>14.039363355788447</v>
      </c>
      <c r="AC48" s="976" t="s">
        <v>324</v>
      </c>
      <c r="AD48" s="435">
        <f t="shared" si="17"/>
        <v>12.97046750648753</v>
      </c>
      <c r="AE48" s="441">
        <f t="shared" si="18"/>
        <v>13.923988168758029</v>
      </c>
      <c r="AH48" s="54"/>
      <c r="AI48" s="11"/>
    </row>
    <row r="49" spans="1:35">
      <c r="A49" s="134">
        <v>1998</v>
      </c>
      <c r="B49" s="440">
        <f t="shared" si="0"/>
        <v>2003</v>
      </c>
      <c r="C49" s="458">
        <f>VLOOKUP($A49,'Brd Tbl'!$A$8:$AX$64,17)</f>
        <v>12.791219118371064</v>
      </c>
      <c r="D49" s="458">
        <f>VLOOKUP($A49,'Brd Tbl'!$A$8:$AX$64,23)</f>
        <v>14.137569843559483</v>
      </c>
      <c r="E49" s="7">
        <v>47</v>
      </c>
      <c r="F49" s="7">
        <v>45</v>
      </c>
      <c r="G49" s="576">
        <v>7.5943665102992304</v>
      </c>
      <c r="H49" s="576">
        <v>0.50808250877678407</v>
      </c>
      <c r="I49" s="577">
        <v>7.7782737139891492E-2</v>
      </c>
      <c r="J49" s="7">
        <v>14.093361210274765</v>
      </c>
      <c r="K49" s="7">
        <v>0.35470807287275125</v>
      </c>
      <c r="L49" s="7">
        <v>0.48669968313366446</v>
      </c>
      <c r="M49" s="576">
        <v>0.13430476797823709</v>
      </c>
      <c r="N49" s="440">
        <f t="shared" si="1"/>
        <v>4.4208633284718246E-2</v>
      </c>
      <c r="O49" s="440">
        <f t="shared" si="2"/>
        <v>1.9544032569026979E-3</v>
      </c>
      <c r="P49" s="465">
        <f t="shared" si="3"/>
        <v>14.093361210274765</v>
      </c>
      <c r="Q49" s="440">
        <f t="shared" si="19"/>
        <v>13.616600879139515</v>
      </c>
      <c r="R49" s="440">
        <f t="shared" si="5"/>
        <v>14.570121541410014</v>
      </c>
      <c r="S49" s="466">
        <f t="shared" si="6"/>
        <v>59677.585300228093</v>
      </c>
      <c r="T49" s="440">
        <f t="shared" si="7"/>
        <v>3561414187.2660003</v>
      </c>
      <c r="U49" s="466">
        <f t="shared" si="8"/>
        <v>1320289.0003723253</v>
      </c>
      <c r="V49" s="467">
        <f t="shared" si="9"/>
        <v>819623.91938546975</v>
      </c>
      <c r="W49" s="467">
        <f t="shared" si="10"/>
        <v>2126784.0082206572</v>
      </c>
      <c r="X49" s="468">
        <f t="shared" si="11"/>
        <v>-4.3245674148800546E-2</v>
      </c>
      <c r="Y49" s="553">
        <f t="shared" si="12"/>
        <v>4.3245674148800546E-2</v>
      </c>
      <c r="Z49" s="471">
        <f t="shared" si="13"/>
        <v>12.791219118371064</v>
      </c>
      <c r="AA49" s="480">
        <f t="shared" si="14"/>
        <v>14.094961986160376</v>
      </c>
      <c r="AB49" s="441">
        <f t="shared" si="15"/>
        <v>14.137569843559483</v>
      </c>
      <c r="AC49" s="976" t="s">
        <v>349</v>
      </c>
      <c r="AD49" s="435">
        <f t="shared" si="17"/>
        <v>13.618201655025127</v>
      </c>
      <c r="AE49" s="441">
        <f t="shared" si="18"/>
        <v>14.571722317295626</v>
      </c>
      <c r="AH49" s="54"/>
      <c r="AI49" s="11"/>
    </row>
    <row r="50" spans="1:35">
      <c r="A50" s="134">
        <v>1999</v>
      </c>
      <c r="B50" s="440">
        <f t="shared" si="0"/>
        <v>2004</v>
      </c>
      <c r="C50" s="458">
        <f>VLOOKUP($A50,'Brd Tbl'!$A$8:$AX$64,17)</f>
        <v>12.514228118178037</v>
      </c>
      <c r="D50" s="458">
        <f>VLOOKUP($A50,'Brd Tbl'!$A$8:$AX$64,23)</f>
        <v>13.811698053073718</v>
      </c>
      <c r="E50" s="7">
        <v>47</v>
      </c>
      <c r="F50" s="7">
        <v>45</v>
      </c>
      <c r="G50" s="576">
        <v>7.5590360444468123</v>
      </c>
      <c r="H50" s="576">
        <v>0.51129736781557755</v>
      </c>
      <c r="I50" s="577">
        <v>7.7201329270855532E-2</v>
      </c>
      <c r="J50" s="7">
        <v>13.957527941514932</v>
      </c>
      <c r="K50" s="7">
        <v>0.35411700797196238</v>
      </c>
      <c r="L50" s="7">
        <v>0.49360206609481067</v>
      </c>
      <c r="M50" s="576">
        <v>0.13389387535896319</v>
      </c>
      <c r="N50" s="440">
        <f t="shared" si="1"/>
        <v>-0.14582988844121481</v>
      </c>
      <c r="O50" s="440">
        <f t="shared" si="2"/>
        <v>2.1266356362777156E-2</v>
      </c>
      <c r="P50" s="465">
        <f t="shared" si="3"/>
        <v>13.957527941514932</v>
      </c>
      <c r="Q50" s="440">
        <f t="shared" si="19"/>
        <v>13.480767610379683</v>
      </c>
      <c r="R50" s="440">
        <f t="shared" si="5"/>
        <v>14.434288272650182</v>
      </c>
      <c r="S50" s="466">
        <f t="shared" si="6"/>
        <v>-156401.93110661674</v>
      </c>
      <c r="T50" s="440">
        <f t="shared" si="7"/>
        <v>24461564053.878891</v>
      </c>
      <c r="U50" s="466">
        <f t="shared" si="8"/>
        <v>1152596.6845857108</v>
      </c>
      <c r="V50" s="467">
        <f t="shared" si="9"/>
        <v>715521.98937083571</v>
      </c>
      <c r="W50" s="467">
        <f t="shared" si="10"/>
        <v>1856657.2894372053</v>
      </c>
      <c r="X50" s="468">
        <f t="shared" si="11"/>
        <v>0.15699935234591553</v>
      </c>
      <c r="Y50" s="553">
        <f t="shared" si="12"/>
        <v>0.15699935234591553</v>
      </c>
      <c r="Z50" s="471">
        <f t="shared" si="13"/>
        <v>12.514228118178037</v>
      </c>
      <c r="AA50" s="480">
        <f t="shared" si="14"/>
        <v>13.953897354865294</v>
      </c>
      <c r="AB50" s="441">
        <f t="shared" si="15"/>
        <v>13.811698053073718</v>
      </c>
      <c r="AC50" s="976" t="s">
        <v>350</v>
      </c>
      <c r="AD50" s="435">
        <f t="shared" si="17"/>
        <v>13.477137023730045</v>
      </c>
      <c r="AE50" s="441">
        <f t="shared" si="18"/>
        <v>14.430657686000544</v>
      </c>
      <c r="AH50" s="54"/>
      <c r="AI50" s="11"/>
    </row>
    <row r="51" spans="1:35">
      <c r="A51" s="134">
        <v>2000</v>
      </c>
      <c r="B51" s="440">
        <f t="shared" si="0"/>
        <v>2005</v>
      </c>
      <c r="C51" s="458">
        <f>VLOOKUP($A51,'Brd Tbl'!$A$8:$AX$64,17)</f>
        <v>13.125935222752243</v>
      </c>
      <c r="D51" s="458">
        <f>VLOOKUP($A51,'Brd Tbl'!$A$8:$AX$64,23)</f>
        <v>14.176239858706381</v>
      </c>
      <c r="E51" s="7">
        <v>47</v>
      </c>
      <c r="F51" s="7">
        <v>45</v>
      </c>
      <c r="G51" s="576">
        <v>7.5330596692970611</v>
      </c>
      <c r="H51" s="576">
        <v>0.51333594494714174</v>
      </c>
      <c r="I51" s="577">
        <v>7.8697229400998089E-2</v>
      </c>
      <c r="J51" s="7">
        <v>14.271074030183556</v>
      </c>
      <c r="K51" s="7">
        <v>0.35450208084061563</v>
      </c>
      <c r="L51" s="7">
        <v>0.48599931050908868</v>
      </c>
      <c r="M51" s="576">
        <v>0.13415499953519755</v>
      </c>
      <c r="N51" s="440">
        <f t="shared" si="1"/>
        <v>-9.4834171477174323E-2</v>
      </c>
      <c r="O51" s="440">
        <f t="shared" si="2"/>
        <v>8.9935200797621045E-3</v>
      </c>
      <c r="P51" s="465">
        <f t="shared" si="3"/>
        <v>14.271074030183556</v>
      </c>
      <c r="Q51" s="440">
        <f t="shared" si="19"/>
        <v>13.794313699048306</v>
      </c>
      <c r="R51" s="440">
        <f t="shared" si="5"/>
        <v>14.747834361318805</v>
      </c>
      <c r="S51" s="466">
        <f t="shared" si="6"/>
        <v>-142686.63917530933</v>
      </c>
      <c r="T51" s="440">
        <f t="shared" si="7"/>
        <v>20359476999.14492</v>
      </c>
      <c r="U51" s="466">
        <f t="shared" si="8"/>
        <v>1577061.7632133723</v>
      </c>
      <c r="V51" s="467">
        <f t="shared" si="9"/>
        <v>979026.21555840236</v>
      </c>
      <c r="W51" s="467">
        <f t="shared" si="10"/>
        <v>2540405.7271041535</v>
      </c>
      <c r="X51" s="468">
        <f t="shared" si="11"/>
        <v>9.9476515441523347E-2</v>
      </c>
      <c r="Y51" s="553">
        <f t="shared" si="12"/>
        <v>9.9476515441523347E-2</v>
      </c>
      <c r="Z51" s="471">
        <f t="shared" si="13"/>
        <v>13.125935222752243</v>
      </c>
      <c r="AA51" s="480">
        <f t="shared" si="14"/>
        <v>14.265424578158504</v>
      </c>
      <c r="AB51" s="441">
        <f t="shared" si="15"/>
        <v>14.176239858706381</v>
      </c>
      <c r="AC51" s="976" t="s">
        <v>351</v>
      </c>
      <c r="AD51" s="435">
        <f t="shared" si="17"/>
        <v>13.788664247023254</v>
      </c>
      <c r="AE51" s="441">
        <f t="shared" si="18"/>
        <v>14.742184909293753</v>
      </c>
      <c r="AH51" s="54"/>
      <c r="AI51" s="11"/>
    </row>
    <row r="52" spans="1:35">
      <c r="A52" s="134">
        <v>2001</v>
      </c>
      <c r="B52" s="440">
        <f t="shared" si="0"/>
        <v>2006</v>
      </c>
      <c r="C52" s="458">
        <f>VLOOKUP($A52,'Brd Tbl'!$A$8:$AX$64,17)</f>
        <v>12.461291763994264</v>
      </c>
      <c r="D52" s="458">
        <f>VLOOKUP($A52,'Brd Tbl'!$A$8:$AX$64,23)</f>
        <v>14.202399903364208</v>
      </c>
      <c r="E52" s="7">
        <v>47</v>
      </c>
      <c r="F52" s="7">
        <v>45</v>
      </c>
      <c r="G52" s="576">
        <v>7.6140058571595866</v>
      </c>
      <c r="H52" s="576">
        <v>0.50606998246219426</v>
      </c>
      <c r="I52" s="577">
        <v>7.6758069085374289E-2</v>
      </c>
      <c r="J52" s="7">
        <v>13.920291561620449</v>
      </c>
      <c r="K52" s="7">
        <v>0.35232482960263467</v>
      </c>
      <c r="L52" s="7">
        <v>0.49134346731324446</v>
      </c>
      <c r="M52" s="576">
        <v>0.13265305067558791</v>
      </c>
      <c r="N52" s="440">
        <f t="shared" si="1"/>
        <v>0.28210834174375954</v>
      </c>
      <c r="O52" s="440">
        <f t="shared" si="2"/>
        <v>7.9585116481413823E-2</v>
      </c>
      <c r="P52" s="465">
        <f t="shared" si="3"/>
        <v>13.920291561620449</v>
      </c>
      <c r="Q52" s="440">
        <f t="shared" si="19"/>
        <v>13.443531230485199</v>
      </c>
      <c r="R52" s="440">
        <f t="shared" si="5"/>
        <v>14.397051892755698</v>
      </c>
      <c r="S52" s="466">
        <f t="shared" si="6"/>
        <v>361926.15971295023</v>
      </c>
      <c r="T52" s="440">
        <f t="shared" si="7"/>
        <v>130990545084.56396</v>
      </c>
      <c r="U52" s="466">
        <f t="shared" si="8"/>
        <v>1110467.3954255513</v>
      </c>
      <c r="V52" s="467">
        <f t="shared" si="9"/>
        <v>689368.49336152559</v>
      </c>
      <c r="W52" s="467">
        <f t="shared" si="10"/>
        <v>1788793.4365699438</v>
      </c>
      <c r="X52" s="468">
        <f t="shared" si="11"/>
        <v>-0.24580803036651802</v>
      </c>
      <c r="Y52" s="553">
        <f t="shared" si="12"/>
        <v>0.24580803036651802</v>
      </c>
      <c r="Z52" s="471">
        <f t="shared" si="13"/>
        <v>12.461291763994264</v>
      </c>
      <c r="AA52" s="480">
        <f t="shared" si="14"/>
        <v>13.926938185506593</v>
      </c>
      <c r="AB52" s="441">
        <f t="shared" si="15"/>
        <v>14.202399903364208</v>
      </c>
      <c r="AC52" s="976" t="s">
        <v>361</v>
      </c>
      <c r="AD52" s="435">
        <f t="shared" si="17"/>
        <v>13.450177854371343</v>
      </c>
      <c r="AE52" s="441">
        <f t="shared" si="18"/>
        <v>14.403698516641843</v>
      </c>
      <c r="AH52" s="54"/>
      <c r="AI52" s="11"/>
    </row>
    <row r="53" spans="1:35">
      <c r="A53" s="134">
        <v>2002</v>
      </c>
      <c r="B53" s="440">
        <f t="shared" si="0"/>
        <v>2007</v>
      </c>
      <c r="C53" s="458">
        <f>VLOOKUP($A53,'Brd Tbl'!$A$8:$AX$64,17)</f>
        <v>12.90210788889968</v>
      </c>
      <c r="D53" s="458">
        <f>VLOOKUP($A53,'Brd Tbl'!$A$8:$AX$64,23)</f>
        <v>14.640443886698622</v>
      </c>
      <c r="E53" s="7">
        <v>47</v>
      </c>
      <c r="F53" s="7">
        <v>45</v>
      </c>
      <c r="G53" s="576">
        <v>7.7712672360411803</v>
      </c>
      <c r="H53" s="576">
        <v>0.49281217063573562</v>
      </c>
      <c r="I53" s="577">
        <v>7.6320988236403264E-2</v>
      </c>
      <c r="J53" s="7">
        <v>14.12958303054628</v>
      </c>
      <c r="K53" s="7">
        <v>0.34685475150583384</v>
      </c>
      <c r="L53" s="7">
        <v>0.48093369363024802</v>
      </c>
      <c r="M53" s="576">
        <v>0.12879361029543285</v>
      </c>
      <c r="N53" s="440">
        <f t="shared" si="1"/>
        <v>0.51086085615234111</v>
      </c>
      <c r="O53" s="440">
        <f t="shared" si="2"/>
        <v>0.26097881434870296</v>
      </c>
      <c r="P53" s="465">
        <f t="shared" si="3"/>
        <v>14.12958303054628</v>
      </c>
      <c r="Q53" s="440">
        <f t="shared" si="19"/>
        <v>13.652822699411031</v>
      </c>
      <c r="R53" s="440">
        <f t="shared" si="5"/>
        <v>14.60634336168153</v>
      </c>
      <c r="S53" s="466">
        <f t="shared" si="6"/>
        <v>912739.68740599928</v>
      </c>
      <c r="T53" s="440">
        <f t="shared" si="7"/>
        <v>833093736966.00134</v>
      </c>
      <c r="U53" s="466">
        <f t="shared" si="8"/>
        <v>1368988.9471160448</v>
      </c>
      <c r="V53" s="467">
        <f t="shared" si="9"/>
        <v>849856.42243040504</v>
      </c>
      <c r="W53" s="467">
        <f t="shared" si="10"/>
        <v>2205232.1872985195</v>
      </c>
      <c r="X53" s="468">
        <f t="shared" si="11"/>
        <v>-0.40002113905941833</v>
      </c>
      <c r="Y53" s="553">
        <f t="shared" si="12"/>
        <v>0.40002113905941833</v>
      </c>
      <c r="Z53" s="471">
        <f t="shared" si="13"/>
        <v>12.90210788889968</v>
      </c>
      <c r="AA53" s="480">
        <f t="shared" si="14"/>
        <v>14.151434880653277</v>
      </c>
      <c r="AB53" s="441">
        <f t="shared" si="15"/>
        <v>14.640443886698622</v>
      </c>
      <c r="AC53" s="976" t="s">
        <v>362</v>
      </c>
      <c r="AD53" s="435">
        <f t="shared" si="17"/>
        <v>13.674674549518027</v>
      </c>
      <c r="AE53" s="441">
        <f t="shared" si="18"/>
        <v>14.628195211788526</v>
      </c>
      <c r="AH53" s="54"/>
      <c r="AI53" s="11"/>
    </row>
    <row r="54" spans="1:35">
      <c r="A54" s="134">
        <v>2003</v>
      </c>
      <c r="B54" s="440">
        <f t="shared" si="0"/>
        <v>2008</v>
      </c>
      <c r="C54" s="458">
        <f>VLOOKUP($A54,'Brd Tbl'!$A$8:$AX$64,17)</f>
        <v>11.881020630189884</v>
      </c>
      <c r="D54" s="458">
        <f>VLOOKUP($A54,'Brd Tbl'!$A$8:$AX$64,23)</f>
        <v>13.587551950740307</v>
      </c>
      <c r="E54" s="7">
        <v>47</v>
      </c>
      <c r="F54" s="7">
        <v>45</v>
      </c>
      <c r="G54" s="576">
        <v>7.5905176047991114</v>
      </c>
      <c r="H54" s="576">
        <v>0.50854960860799769</v>
      </c>
      <c r="I54" s="577">
        <v>7.738577252782769E-2</v>
      </c>
      <c r="J54" s="7">
        <v>13.632605996145724</v>
      </c>
      <c r="K54" s="7">
        <v>0.35470516526164791</v>
      </c>
      <c r="L54" s="7">
        <v>0.48971573983515793</v>
      </c>
      <c r="M54" s="576">
        <v>0.13430316236652456</v>
      </c>
      <c r="N54" s="440">
        <f t="shared" si="1"/>
        <v>-4.5054045405416687E-2</v>
      </c>
      <c r="O54" s="440">
        <f t="shared" si="2"/>
        <v>2.0298670073933484E-3</v>
      </c>
      <c r="P54" s="465">
        <f t="shared" si="3"/>
        <v>13.632605996145724</v>
      </c>
      <c r="Q54" s="440">
        <f t="shared" si="19"/>
        <v>13.155845665010474</v>
      </c>
      <c r="R54" s="440">
        <f t="shared" si="5"/>
        <v>14.109366327280974</v>
      </c>
      <c r="S54" s="466">
        <f t="shared" si="6"/>
        <v>-36690.423097507097</v>
      </c>
      <c r="T54" s="440">
        <f t="shared" si="7"/>
        <v>1346187147.0740824</v>
      </c>
      <c r="U54" s="466">
        <f t="shared" si="8"/>
        <v>832847.63740817667</v>
      </c>
      <c r="V54" s="467">
        <f t="shared" si="9"/>
        <v>517024.5640393254</v>
      </c>
      <c r="W54" s="467">
        <f t="shared" si="10"/>
        <v>1341590.3912132559</v>
      </c>
      <c r="X54" s="468">
        <f t="shared" si="11"/>
        <v>4.6084394436184908E-2</v>
      </c>
      <c r="Y54" s="553">
        <f t="shared" si="12"/>
        <v>4.6084394436184908E-2</v>
      </c>
      <c r="Z54" s="471">
        <f t="shared" si="13"/>
        <v>11.881020630189884</v>
      </c>
      <c r="AA54" s="480">
        <f t="shared" si="14"/>
        <v>13.631420520729574</v>
      </c>
      <c r="AB54" s="441">
        <f t="shared" si="15"/>
        <v>13.587551950740307</v>
      </c>
      <c r="AC54" s="976" t="s">
        <v>363</v>
      </c>
      <c r="AD54" s="435">
        <f t="shared" si="17"/>
        <v>13.154660189594324</v>
      </c>
      <c r="AE54" s="441">
        <f t="shared" si="18"/>
        <v>14.108180851864823</v>
      </c>
      <c r="AH54" s="54"/>
      <c r="AI54" s="11"/>
    </row>
    <row r="55" spans="1:35">
      <c r="A55" s="134">
        <v>2004</v>
      </c>
      <c r="B55" s="440">
        <f t="shared" si="0"/>
        <v>2009</v>
      </c>
      <c r="C55" s="458">
        <f>VLOOKUP($A55,'Brd Tbl'!$A$8:$AX$64,17)</f>
        <v>11.545882550464155</v>
      </c>
      <c r="D55" s="458">
        <f>VLOOKUP($A55,'Brd Tbl'!$A$8:$AX$64,23)</f>
        <v>13.754121868260308</v>
      </c>
      <c r="E55" s="7">
        <v>47</v>
      </c>
      <c r="F55" s="7">
        <v>45</v>
      </c>
      <c r="G55" s="576">
        <v>7.4546380574667639</v>
      </c>
      <c r="H55" s="576">
        <v>0.51906883280884153</v>
      </c>
      <c r="I55" s="577">
        <v>7.7425840738237287E-2</v>
      </c>
      <c r="J55" s="7">
        <v>13.447745836684163</v>
      </c>
      <c r="K55" s="7">
        <v>0.35194068797369699</v>
      </c>
      <c r="L55" s="7">
        <v>0.49969233542809338</v>
      </c>
      <c r="M55" s="576">
        <v>0.13234919628744041</v>
      </c>
      <c r="N55" s="440">
        <f t="shared" si="1"/>
        <v>0.30637603157614457</v>
      </c>
      <c r="O55" s="440">
        <f t="shared" si="2"/>
        <v>9.3866272724346736E-2</v>
      </c>
      <c r="P55" s="465">
        <f t="shared" si="3"/>
        <v>13.447745836684163</v>
      </c>
      <c r="Q55" s="440">
        <f t="shared" si="19"/>
        <v>12.970985505548914</v>
      </c>
      <c r="R55" s="440">
        <f t="shared" si="5"/>
        <v>13.924506167819413</v>
      </c>
      <c r="S55" s="466">
        <f t="shared" si="6"/>
        <v>248177.5812386896</v>
      </c>
      <c r="T55" s="440">
        <f t="shared" si="7"/>
        <v>61592111829.486374</v>
      </c>
      <c r="U55" s="466">
        <f t="shared" si="8"/>
        <v>692280.04129119951</v>
      </c>
      <c r="V55" s="467">
        <f t="shared" si="9"/>
        <v>429761.42389690183</v>
      </c>
      <c r="W55" s="467">
        <f t="shared" si="10"/>
        <v>1115157.4546279323</v>
      </c>
      <c r="X55" s="468">
        <f t="shared" si="11"/>
        <v>-0.26389023310915016</v>
      </c>
      <c r="Y55" s="553">
        <f t="shared" si="12"/>
        <v>0.26389023310915016</v>
      </c>
      <c r="Z55" s="471">
        <f t="shared" si="13"/>
        <v>11.545882550464155</v>
      </c>
      <c r="AA55" s="480">
        <f t="shared" si="14"/>
        <v>13.460743027177415</v>
      </c>
      <c r="AB55" s="441">
        <f t="shared" si="15"/>
        <v>13.754121868260308</v>
      </c>
      <c r="AC55" s="976" t="s">
        <v>476</v>
      </c>
      <c r="AD55" s="435">
        <f t="shared" si="17"/>
        <v>12.983982696042165</v>
      </c>
      <c r="AE55" s="441">
        <f t="shared" si="18"/>
        <v>13.937503358312664</v>
      </c>
      <c r="AH55" s="54"/>
      <c r="AI55" s="11"/>
    </row>
    <row r="56" spans="1:35">
      <c r="A56" s="134">
        <v>2005</v>
      </c>
      <c r="B56" s="440">
        <f t="shared" si="0"/>
        <v>2010</v>
      </c>
      <c r="C56" s="458">
        <f>VLOOKUP($A56,'Brd Tbl'!$A$8:$AX$64,17)</f>
        <v>12.761895949735445</v>
      </c>
      <c r="D56" s="458">
        <f>VLOOKUP($A56,'Brd Tbl'!$A$8:$AX$64,23)</f>
        <v>13.501477075906118</v>
      </c>
      <c r="E56" s="7">
        <v>47</v>
      </c>
      <c r="F56" s="7">
        <v>45</v>
      </c>
      <c r="G56" s="576">
        <v>7.4057664716757401</v>
      </c>
      <c r="H56" s="576">
        <v>0.52461167255739205</v>
      </c>
      <c r="I56" s="577">
        <v>7.5316455235149418E-2</v>
      </c>
      <c r="J56" s="7">
        <v>14.10080605086986</v>
      </c>
      <c r="K56" s="7">
        <v>0.34373577744230566</v>
      </c>
      <c r="L56" s="7">
        <v>0.51880534172195325</v>
      </c>
      <c r="M56" s="576">
        <v>0.1267038995319778</v>
      </c>
      <c r="N56" s="440">
        <f t="shared" si="1"/>
        <v>-0.5993289749637416</v>
      </c>
      <c r="O56" s="440">
        <f t="shared" si="2"/>
        <v>0.35919522023108919</v>
      </c>
      <c r="P56" s="465">
        <f t="shared" si="3"/>
        <v>14.10080605086986</v>
      </c>
      <c r="Q56" s="440">
        <f t="shared" si="19"/>
        <v>13.62404571973461</v>
      </c>
      <c r="R56" s="440">
        <f t="shared" si="5"/>
        <v>14.577566382005109</v>
      </c>
      <c r="S56" s="466">
        <f t="shared" si="6"/>
        <v>-599660.45213909924</v>
      </c>
      <c r="T56" s="440">
        <f t="shared" si="7"/>
        <v>359592657859.66895</v>
      </c>
      <c r="U56" s="466">
        <f t="shared" si="8"/>
        <v>1330155.0214274083</v>
      </c>
      <c r="V56" s="467">
        <f t="shared" si="9"/>
        <v>825748.65938074817</v>
      </c>
      <c r="W56" s="467">
        <f t="shared" si="10"/>
        <v>2142676.6618736088</v>
      </c>
      <c r="X56" s="468">
        <f t="shared" si="11"/>
        <v>0.82089652319157391</v>
      </c>
      <c r="Y56" s="553">
        <f t="shared" si="12"/>
        <v>0.82089652319157391</v>
      </c>
      <c r="Z56" s="471">
        <f t="shared" si="13"/>
        <v>12.761895949735445</v>
      </c>
      <c r="AA56" s="480">
        <f t="shared" si="14"/>
        <v>14.080028425253687</v>
      </c>
      <c r="AB56" s="441">
        <f t="shared" si="15"/>
        <v>13.501477075906118</v>
      </c>
      <c r="AC56" s="976" t="s">
        <v>477</v>
      </c>
      <c r="AD56" s="435">
        <f t="shared" si="17"/>
        <v>13.603268094118437</v>
      </c>
      <c r="AE56" s="441">
        <f t="shared" si="18"/>
        <v>14.556788756388936</v>
      </c>
      <c r="AH56" s="54"/>
      <c r="AI56" s="11"/>
    </row>
    <row r="57" spans="1:35">
      <c r="A57" s="134">
        <v>2006</v>
      </c>
      <c r="B57" s="440">
        <f t="shared" si="0"/>
        <v>2011</v>
      </c>
      <c r="C57" s="458">
        <f>VLOOKUP($A57,'Brd Tbl'!$A$8:$AX$64,17)</f>
        <v>12.923364923755361</v>
      </c>
      <c r="D57" s="458">
        <f>VLOOKUP($A57,'Brd Tbl'!$A$8:$AX$64,23)</f>
        <v>14.421147248530623</v>
      </c>
      <c r="E57" s="7">
        <v>47</v>
      </c>
      <c r="F57" s="7">
        <v>45</v>
      </c>
      <c r="G57" s="576">
        <v>7.6850712869233408</v>
      </c>
      <c r="H57" s="576">
        <v>0.5002742700730971</v>
      </c>
      <c r="I57" s="577">
        <v>7.7633711717942561E-2</v>
      </c>
      <c r="J57" s="7">
        <v>14.15029824104332</v>
      </c>
      <c r="K57" s="7">
        <v>0.35256413745226617</v>
      </c>
      <c r="L57" s="7">
        <v>0.4799225420733621</v>
      </c>
      <c r="M57" s="576">
        <v>0.13278551730589763</v>
      </c>
      <c r="N57" s="440">
        <f t="shared" si="1"/>
        <v>0.27084900748730334</v>
      </c>
      <c r="O57" s="440">
        <f t="shared" si="2"/>
        <v>7.3359184856857301E-2</v>
      </c>
      <c r="P57" s="465">
        <f t="shared" si="3"/>
        <v>14.15029824104332</v>
      </c>
      <c r="Q57" s="440">
        <f t="shared" si="19"/>
        <v>13.67353790990807</v>
      </c>
      <c r="R57" s="440">
        <f t="shared" si="5"/>
        <v>14.627058572178569</v>
      </c>
      <c r="S57" s="466">
        <f t="shared" si="6"/>
        <v>434774.91081190342</v>
      </c>
      <c r="T57" s="440">
        <f t="shared" si="7"/>
        <v>189029223071.49857</v>
      </c>
      <c r="U57" s="466">
        <f t="shared" si="8"/>
        <v>1397643.6103304795</v>
      </c>
      <c r="V57" s="467">
        <f t="shared" si="9"/>
        <v>867644.98793830699</v>
      </c>
      <c r="W57" s="467">
        <f t="shared" si="10"/>
        <v>2251390.4749675244</v>
      </c>
      <c r="X57" s="468">
        <f t="shared" si="11"/>
        <v>-0.23726834552013376</v>
      </c>
      <c r="Y57" s="553">
        <f t="shared" si="12"/>
        <v>0.23726834552013376</v>
      </c>
      <c r="Z57" s="471">
        <f t="shared" si="13"/>
        <v>12.923364923755361</v>
      </c>
      <c r="AA57" s="480">
        <f t="shared" si="14"/>
        <v>14.162260560123924</v>
      </c>
      <c r="AB57" s="441">
        <f t="shared" si="15"/>
        <v>14.421147248530623</v>
      </c>
      <c r="AC57" s="976">
        <v>11</v>
      </c>
      <c r="AD57" s="435">
        <f t="shared" si="17"/>
        <v>13.685500228988674</v>
      </c>
      <c r="AE57" s="441">
        <f t="shared" si="18"/>
        <v>14.639020891259173</v>
      </c>
      <c r="AH57" s="54"/>
      <c r="AI57" s="11"/>
    </row>
    <row r="58" spans="1:35">
      <c r="A58" s="134">
        <v>2007</v>
      </c>
      <c r="B58" s="440">
        <f t="shared" si="0"/>
        <v>2012</v>
      </c>
      <c r="C58" s="458">
        <f>VLOOKUP($A58,'Brd Tbl'!$A$8:$AX$64,17)</f>
        <v>13.000595114838205</v>
      </c>
      <c r="D58" s="458">
        <f>VLOOKUP($A58,'Brd Tbl'!$A$8:$AX$64,23)</f>
        <v>14.547533233630642</v>
      </c>
      <c r="E58" s="7">
        <v>47</v>
      </c>
      <c r="F58" s="7">
        <v>45</v>
      </c>
      <c r="G58" s="576">
        <v>7.7372189866422891</v>
      </c>
      <c r="H58" s="576">
        <v>0.49584852855083938</v>
      </c>
      <c r="I58" s="577">
        <v>7.7465272736111396E-2</v>
      </c>
      <c r="J58" s="7">
        <v>14.183544944620044</v>
      </c>
      <c r="K58" s="7">
        <v>0.35080120461600389</v>
      </c>
      <c r="L58" s="7">
        <v>0.47657192156852018</v>
      </c>
      <c r="M58" s="576">
        <v>0.13152746858930175</v>
      </c>
      <c r="N58" s="440">
        <f t="shared" si="1"/>
        <v>0.36398828901059765</v>
      </c>
      <c r="O58" s="440">
        <f t="shared" si="2"/>
        <v>0.13248747453686235</v>
      </c>
      <c r="P58" s="465">
        <f t="shared" si="3"/>
        <v>14.183544944620044</v>
      </c>
      <c r="Q58" s="440">
        <f t="shared" si="19"/>
        <v>13.706784613484794</v>
      </c>
      <c r="R58" s="440">
        <f t="shared" si="5"/>
        <v>14.660305275755293</v>
      </c>
      <c r="S58" s="466">
        <f t="shared" si="6"/>
        <v>634390.34727684571</v>
      </c>
      <c r="T58" s="440">
        <f t="shared" si="7"/>
        <v>402451112718.03693</v>
      </c>
      <c r="U58" s="466">
        <f t="shared" si="8"/>
        <v>1444891.7231139459</v>
      </c>
      <c r="V58" s="467">
        <f t="shared" si="9"/>
        <v>896976.20509775518</v>
      </c>
      <c r="W58" s="467">
        <f t="shared" si="10"/>
        <v>2327499.9711900521</v>
      </c>
      <c r="X58" s="468">
        <f t="shared" si="11"/>
        <v>-0.30510066734602048</v>
      </c>
      <c r="Y58" s="553">
        <f t="shared" si="12"/>
        <v>0.30510066734602048</v>
      </c>
      <c r="Z58" s="471">
        <f t="shared" si="13"/>
        <v>13.000595114838205</v>
      </c>
      <c r="AA58" s="480">
        <f t="shared" si="14"/>
        <v>14.201591976748862</v>
      </c>
      <c r="AB58" s="441">
        <f t="shared" si="15"/>
        <v>14.547533233630642</v>
      </c>
      <c r="AC58" s="976">
        <v>11</v>
      </c>
      <c r="AD58" s="435">
        <f t="shared" si="17"/>
        <v>13.724831645613612</v>
      </c>
      <c r="AE58" s="441">
        <f t="shared" si="18"/>
        <v>14.678352307884111</v>
      </c>
      <c r="AH58" s="54"/>
      <c r="AI58" s="11"/>
    </row>
    <row r="59" spans="1:35">
      <c r="A59" s="134">
        <v>2008</v>
      </c>
      <c r="B59" s="440">
        <f t="shared" si="0"/>
        <v>2013</v>
      </c>
      <c r="C59" s="458">
        <f>VLOOKUP($A59,'Brd Tbl'!$A$8:$AX$64,17)</f>
        <v>13.030386808710347</v>
      </c>
      <c r="D59" s="458">
        <f>VLOOKUP($A59,'Brd Tbl'!$A$8:$AX$64,23)</f>
        <v>14.206228091770475</v>
      </c>
      <c r="E59" s="7">
        <v>47</v>
      </c>
      <c r="F59" s="7">
        <v>45</v>
      </c>
      <c r="G59" s="576">
        <v>7.5757426801430627</v>
      </c>
      <c r="H59" s="576">
        <v>0.5097007015235514</v>
      </c>
      <c r="I59" s="577">
        <v>7.8432698472610723E-2</v>
      </c>
      <c r="J59" s="7">
        <v>14.217339977665958</v>
      </c>
      <c r="K59" s="7">
        <v>0.35476340544590601</v>
      </c>
      <c r="L59" s="7">
        <v>0.48413109942965726</v>
      </c>
      <c r="M59" s="576">
        <v>0.13434372391969981</v>
      </c>
      <c r="N59" s="440">
        <f t="shared" si="1"/>
        <v>-1.1111885895482843E-2</v>
      </c>
      <c r="O59" s="440">
        <f t="shared" si="2"/>
        <v>1.2347400815423054E-4</v>
      </c>
      <c r="P59" s="465">
        <f t="shared" si="3"/>
        <v>14.217339977665958</v>
      </c>
      <c r="Q59" s="440">
        <f t="shared" si="19"/>
        <v>13.740579646530708</v>
      </c>
      <c r="R59" s="440">
        <f t="shared" si="5"/>
        <v>14.694100308801207</v>
      </c>
      <c r="S59" s="466">
        <f t="shared" si="6"/>
        <v>-16515.411219874863</v>
      </c>
      <c r="T59" s="440">
        <f t="shared" si="7"/>
        <v>272758807.76156849</v>
      </c>
      <c r="U59" s="466">
        <f t="shared" si="8"/>
        <v>1494556.3690594914</v>
      </c>
      <c r="V59" s="467">
        <f t="shared" si="9"/>
        <v>927807.58501025965</v>
      </c>
      <c r="W59" s="467">
        <f t="shared" si="10"/>
        <v>2407502.1333993417</v>
      </c>
      <c r="X59" s="468">
        <f t="shared" si="11"/>
        <v>1.1173852207732232E-2</v>
      </c>
      <c r="Y59" s="553">
        <f t="shared" si="12"/>
        <v>1.1173852207732232E-2</v>
      </c>
      <c r="Z59" s="471">
        <f t="shared" si="13"/>
        <v>13.030386808710347</v>
      </c>
      <c r="AA59" s="480">
        <f t="shared" si="14"/>
        <v>14.216764145912485</v>
      </c>
      <c r="AB59" s="441">
        <f t="shared" si="15"/>
        <v>14.206228091770475</v>
      </c>
      <c r="AC59" s="976">
        <v>11</v>
      </c>
      <c r="AD59" s="435">
        <f t="shared" si="17"/>
        <v>13.740003814777236</v>
      </c>
      <c r="AE59" s="441">
        <f t="shared" si="18"/>
        <v>14.693524477047735</v>
      </c>
      <c r="AH59" s="54"/>
      <c r="AI59" s="11"/>
    </row>
    <row r="60" spans="1:35">
      <c r="A60" s="134">
        <v>2009</v>
      </c>
      <c r="B60" s="440">
        <f t="shared" si="0"/>
        <v>2014</v>
      </c>
      <c r="C60" s="458">
        <f>VLOOKUP($A60,'Brd Tbl'!$A$8:$AX$64,17)</f>
        <v>13.385855647136685</v>
      </c>
      <c r="D60" s="458">
        <f>VLOOKUP($A60,'Brd Tbl'!$A$8:$AX$64,23)</f>
        <v>14.444629537743996</v>
      </c>
      <c r="E60" s="7">
        <v>47</v>
      </c>
      <c r="F60" s="7">
        <v>45</v>
      </c>
      <c r="G60" s="576">
        <v>7.6141280756495693</v>
      </c>
      <c r="H60" s="576">
        <v>0.50645363039082758</v>
      </c>
      <c r="I60" s="577">
        <v>7.9827255244333609E-2</v>
      </c>
      <c r="J60" s="7">
        <v>14.393443264029504</v>
      </c>
      <c r="K60" s="7">
        <v>0.35469198352934361</v>
      </c>
      <c r="L60" s="7">
        <v>0.47214713159669225</v>
      </c>
      <c r="M60" s="578">
        <v>0.13429060560887809</v>
      </c>
      <c r="N60" s="806">
        <f t="shared" si="1"/>
        <v>5.1186273714492359E-2</v>
      </c>
      <c r="O60" s="798">
        <f t="shared" si="2"/>
        <v>2.6200346167749313E-3</v>
      </c>
      <c r="P60" s="465">
        <f>M$60</f>
        <v>0.13429060560887809</v>
      </c>
      <c r="Q60" s="440">
        <f t="shared" si="19"/>
        <v>-0.34246972552637134</v>
      </c>
      <c r="R60" s="440">
        <f t="shared" si="5"/>
        <v>0.61105093674412747</v>
      </c>
      <c r="S60" s="466">
        <f>EXP(D60)-$E$60</f>
        <v>1875910.0948617517</v>
      </c>
      <c r="T60" s="440">
        <f t="shared" si="7"/>
        <v>3519038684004.2261</v>
      </c>
      <c r="U60" s="466">
        <f t="shared" si="8"/>
        <v>1.1437251442965517</v>
      </c>
      <c r="V60" s="467">
        <f t="shared" si="9"/>
        <v>0.71001461437889368</v>
      </c>
      <c r="W60" s="467">
        <f t="shared" si="10"/>
        <v>1.8423665924686261</v>
      </c>
      <c r="X60" s="468">
        <f t="shared" si="11"/>
        <v>-0.99999939032446561</v>
      </c>
      <c r="Y60" s="553">
        <f t="shared" si="12"/>
        <v>0.99999939032446561</v>
      </c>
      <c r="Z60" s="471">
        <f t="shared" si="13"/>
        <v>13.385855647136685</v>
      </c>
      <c r="AA60" s="480">
        <f t="shared" si="14"/>
        <v>14.397795589513752</v>
      </c>
      <c r="AB60" s="441">
        <f t="shared" si="15"/>
        <v>14.444629537743996</v>
      </c>
      <c r="AC60" s="976">
        <v>12</v>
      </c>
      <c r="AD60" s="435">
        <f t="shared" si="17"/>
        <v>13.921035258378502</v>
      </c>
      <c r="AE60" s="441">
        <f t="shared" si="18"/>
        <v>14.874555920649001</v>
      </c>
      <c r="AH60" s="54"/>
      <c r="AI60" s="11"/>
    </row>
    <row r="61" spans="1:35">
      <c r="A61" s="134"/>
      <c r="E61" s="15"/>
      <c r="F61" s="15"/>
      <c r="G61" s="168"/>
      <c r="H61" s="15"/>
      <c r="I61" s="15"/>
      <c r="J61" s="15"/>
      <c r="K61" s="15"/>
      <c r="L61" s="15"/>
      <c r="M61" s="146"/>
      <c r="V61" s="2"/>
      <c r="W61" s="2"/>
      <c r="X61" s="47"/>
      <c r="Y61" s="47"/>
      <c r="Z61" s="139"/>
      <c r="AA61" s="139"/>
      <c r="AB61" s="139"/>
      <c r="AC61" s="800"/>
      <c r="AD61" s="23"/>
      <c r="AE61" s="47"/>
    </row>
    <row r="62" spans="1:35">
      <c r="A62" s="134">
        <v>2010</v>
      </c>
      <c r="B62" s="440">
        <f>A62+5</f>
        <v>2015</v>
      </c>
      <c r="C62" s="458">
        <f>VLOOKUP($A62,'Brd Tbl'!$A$8:$AX$64,17)</f>
        <v>13.454435293186728</v>
      </c>
      <c r="D62" s="10"/>
      <c r="E62" s="7">
        <v>48</v>
      </c>
      <c r="F62" s="7">
        <v>46</v>
      </c>
      <c r="G62" s="576">
        <v>7.580712037641506</v>
      </c>
      <c r="H62" s="576">
        <v>0.50927514322406875</v>
      </c>
      <c r="I62" s="577">
        <v>7.6338880527975606E-2</v>
      </c>
      <c r="J62" s="7">
        <v>14.432721498578143</v>
      </c>
      <c r="K62" s="7">
        <v>0.35088972002215313</v>
      </c>
      <c r="L62" s="7">
        <v>0.49174342348840161</v>
      </c>
      <c r="M62" s="576">
        <v>0.13154746871320927</v>
      </c>
      <c r="N62" s="475">
        <f>D62-$E$62</f>
        <v>-48</v>
      </c>
      <c r="O62" s="470">
        <f>N62^2</f>
        <v>2304</v>
      </c>
      <c r="P62" s="465">
        <f>J62</f>
        <v>14.432721498578143</v>
      </c>
      <c r="Q62" s="440">
        <f>$P62-(SQRT(O65)*Q65)</f>
        <v>13.96085565207996</v>
      </c>
      <c r="R62" s="440">
        <f>$P62+SQRT(O65)*Q65</f>
        <v>14.904587345076326</v>
      </c>
      <c r="S62" s="466">
        <f>EXP(D62)-$E$62</f>
        <v>-47</v>
      </c>
      <c r="T62" s="440">
        <f>S62^2</f>
        <v>2209</v>
      </c>
      <c r="U62" s="485">
        <f>EXP(P62)</f>
        <v>1853750.604589287</v>
      </c>
      <c r="V62" s="899">
        <f>EXP(Q62)</f>
        <v>1156438.581565487</v>
      </c>
      <c r="W62" s="899">
        <f>EXP(R62)</f>
        <v>2971529.4515366792</v>
      </c>
      <c r="X62" s="169"/>
      <c r="Y62" s="169"/>
      <c r="Z62" s="471">
        <f>C62</f>
        <v>13.454435293186728</v>
      </c>
      <c r="AA62" s="471">
        <f>(+G62+H62*C62)</f>
        <v>14.432721498578143</v>
      </c>
      <c r="AB62" s="139"/>
      <c r="AC62" s="799">
        <v>13</v>
      </c>
      <c r="AD62" s="435">
        <f>AA62-SQRT(O65)*Q65</f>
        <v>13.96085565207996</v>
      </c>
      <c r="AE62" s="441">
        <f>AA62+SQRT(O65)*Q65</f>
        <v>14.904587345076326</v>
      </c>
      <c r="AF62" s="475">
        <f>AA62</f>
        <v>14.432721498578143</v>
      </c>
    </row>
    <row r="63" spans="1:35">
      <c r="A63" s="26"/>
      <c r="B63" s="42"/>
      <c r="C63" s="42"/>
      <c r="D63" s="42"/>
      <c r="E63" s="42"/>
      <c r="F63" s="42"/>
      <c r="G63" s="141"/>
      <c r="H63" s="174"/>
      <c r="I63" s="42"/>
      <c r="J63" s="42"/>
      <c r="K63" s="42"/>
      <c r="L63" s="42"/>
      <c r="M63" s="180"/>
      <c r="N63" s="42"/>
      <c r="O63" s="42"/>
      <c r="P63" s="42"/>
      <c r="Q63" s="42"/>
      <c r="R63" s="42"/>
      <c r="S63" s="42"/>
      <c r="T63" s="42"/>
      <c r="U63" s="42"/>
      <c r="V63" s="105"/>
      <c r="W63" s="105"/>
      <c r="X63" s="49"/>
      <c r="Y63" s="49"/>
      <c r="Z63" s="27"/>
      <c r="AA63" s="49"/>
      <c r="AB63" s="49"/>
      <c r="AC63" s="49"/>
      <c r="AD63" s="42"/>
      <c r="AE63" s="49"/>
    </row>
    <row r="64" spans="1:35">
      <c r="A64" s="23"/>
      <c r="E64" s="54" t="s">
        <v>184</v>
      </c>
      <c r="F64" s="440">
        <f>F60</f>
        <v>45</v>
      </c>
      <c r="H64" s="9"/>
      <c r="M64" s="224" t="s">
        <v>185</v>
      </c>
      <c r="O64" s="924">
        <f>AVERAGE(INDEX(O$13:O$61,COUNT(O$13:O$61)-1,0):INDEX(O$13:O$61,(COUNT(O$13:O$61)-(COUNT(O$13:O$61)-1)),0))</f>
        <v>0.13429060560887809</v>
      </c>
      <c r="P64" s="54" t="s">
        <v>186</v>
      </c>
      <c r="Q64" s="440">
        <f>VLOOKUP(F64,ttab!$A$4:$G$44,4)</f>
        <v>1.3009999999999999</v>
      </c>
      <c r="X64" s="47"/>
      <c r="Y64" s="227"/>
      <c r="Z64" s="23"/>
    </row>
    <row r="65" spans="1:28">
      <c r="A65" s="23"/>
      <c r="E65" s="54" t="s">
        <v>184</v>
      </c>
      <c r="F65" s="440">
        <f>F62</f>
        <v>46</v>
      </c>
      <c r="M65" s="224" t="s">
        <v>188</v>
      </c>
      <c r="O65" s="458">
        <f>AVERAGEA(O13:O61)</f>
        <v>0.13154746871320927</v>
      </c>
      <c r="P65" s="54" t="s">
        <v>186</v>
      </c>
      <c r="Q65" s="440">
        <f>VLOOKUP(F65,ttab!$A$4:$G$44,4)</f>
        <v>1.3009999999999999</v>
      </c>
      <c r="S65" s="54" t="s">
        <v>189</v>
      </c>
      <c r="T65" s="440">
        <f>AVERAGEA(T13:T61)</f>
        <v>214882478455.05313</v>
      </c>
      <c r="W65" s="54" t="s">
        <v>211</v>
      </c>
      <c r="X65" s="486">
        <f>AVERAGEA(X13:X61)</f>
        <v>4.2761584689373161E-2</v>
      </c>
      <c r="Y65" s="486">
        <f>AVERAGEA(Y13:Y61)</f>
        <v>0.30011399684872442</v>
      </c>
      <c r="Z65" s="23"/>
      <c r="AA65" s="440">
        <f>EXP(AA60)</f>
        <v>1790124.2512494926</v>
      </c>
      <c r="AB65" s="440">
        <f>EXP(AB60)</f>
        <v>1875957.0948617517</v>
      </c>
    </row>
    <row r="66" spans="1:28">
      <c r="A66" s="42"/>
      <c r="B66" s="42"/>
      <c r="C66" s="42"/>
      <c r="D66" s="42"/>
      <c r="E66" s="42"/>
      <c r="F66" s="42"/>
      <c r="G66" s="141"/>
      <c r="H66" s="42"/>
      <c r="I66" s="42"/>
      <c r="J66" s="42"/>
      <c r="K66" s="42"/>
      <c r="L66" s="42"/>
      <c r="M66" s="180"/>
      <c r="N66" s="42"/>
      <c r="O66" s="42"/>
      <c r="P66" s="42"/>
      <c r="Q66" s="42"/>
      <c r="R66" s="42"/>
      <c r="S66" s="42"/>
      <c r="T66" s="42"/>
      <c r="U66" s="42"/>
      <c r="V66" s="42"/>
      <c r="W66" s="42"/>
      <c r="X66" s="49"/>
      <c r="Y66" s="227"/>
    </row>
    <row r="67" spans="1:28">
      <c r="D67">
        <v>0.501</v>
      </c>
      <c r="G67" s="127">
        <v>7.6748000000000003</v>
      </c>
    </row>
    <row r="71" spans="1:28">
      <c r="A71" s="980" t="s">
        <v>554</v>
      </c>
    </row>
    <row r="72" spans="1:28">
      <c r="A72" s="980" t="s">
        <v>555</v>
      </c>
    </row>
    <row r="73" spans="1:28" ht="15" customHeight="1">
      <c r="Y73" s="568"/>
    </row>
    <row r="74" spans="1:28" ht="15" customHeight="1">
      <c r="B74" s="54" t="s">
        <v>27</v>
      </c>
      <c r="C74" s="54" t="s">
        <v>558</v>
      </c>
      <c r="D74" s="54" t="s">
        <v>514</v>
      </c>
      <c r="G74" s="219" t="s">
        <v>552</v>
      </c>
      <c r="H74" t="s">
        <v>107</v>
      </c>
    </row>
    <row r="75" spans="1:28" ht="15" customHeight="1">
      <c r="B75" s="440">
        <v>1996</v>
      </c>
      <c r="C75" s="458">
        <v>13.062692434348026</v>
      </c>
      <c r="D75" s="897">
        <v>14.567572903539567</v>
      </c>
      <c r="G75" s="897">
        <f>($C75*$D$67)+$G$67</f>
        <v>14.219208909608362</v>
      </c>
      <c r="H75" s="458">
        <f>D75-G75</f>
        <v>0.34836399393120487</v>
      </c>
    </row>
    <row r="76" spans="1:28" ht="15" customHeight="1">
      <c r="B76" s="440">
        <v>1997</v>
      </c>
      <c r="C76" s="458">
        <v>13.244004787606466</v>
      </c>
      <c r="D76" s="897">
        <v>14.629520536077205</v>
      </c>
      <c r="G76" s="897">
        <f t="shared" ref="G76:G91" si="20">($C76*$D$67)+$G$67</f>
        <v>14.310046398590838</v>
      </c>
      <c r="H76" s="458">
        <f>D76-G76</f>
        <v>0.31947413748636677</v>
      </c>
      <c r="I76" s="979"/>
    </row>
    <row r="77" spans="1:28" ht="15" customHeight="1">
      <c r="B77" s="440">
        <v>1998</v>
      </c>
      <c r="C77" s="458">
        <v>12.404065595063654</v>
      </c>
      <c r="D77" s="458">
        <v>14.109524159255459</v>
      </c>
      <c r="G77" s="458">
        <f t="shared" si="20"/>
        <v>13.889236863126891</v>
      </c>
      <c r="H77" s="458"/>
    </row>
    <row r="78" spans="1:28" ht="15" customHeight="1">
      <c r="B78" s="440">
        <v>1999</v>
      </c>
      <c r="C78" s="458">
        <v>12.537349598272895</v>
      </c>
      <c r="D78" s="458">
        <v>13.925327580104575</v>
      </c>
      <c r="G78" s="458">
        <f t="shared" si="20"/>
        <v>13.956012148734722</v>
      </c>
      <c r="H78" s="458"/>
    </row>
    <row r="79" spans="1:28" ht="15" customHeight="1">
      <c r="B79" s="440">
        <v>2000</v>
      </c>
      <c r="C79" s="458">
        <v>12.272801151489428</v>
      </c>
      <c r="D79" s="458">
        <v>13.811422341804606</v>
      </c>
      <c r="G79" s="458">
        <f t="shared" si="20"/>
        <v>13.823473376896203</v>
      </c>
      <c r="H79" s="458"/>
    </row>
    <row r="80" spans="1:28" ht="15" customHeight="1">
      <c r="B80" s="440">
        <v>2001</v>
      </c>
      <c r="C80" s="458">
        <v>11.242024740181613</v>
      </c>
      <c r="D80" s="458">
        <v>14.168622803727001</v>
      </c>
      <c r="G80" s="458">
        <f t="shared" si="20"/>
        <v>13.307054394830988</v>
      </c>
      <c r="H80" s="458"/>
    </row>
    <row r="81" spans="2:9" ht="15" customHeight="1">
      <c r="B81" s="440">
        <v>2002</v>
      </c>
      <c r="C81" s="458">
        <v>11.512948268829144</v>
      </c>
      <c r="D81" s="458">
        <v>14.177581644657833</v>
      </c>
      <c r="G81" s="458">
        <f t="shared" si="20"/>
        <v>13.442787082683402</v>
      </c>
      <c r="H81" s="458"/>
    </row>
    <row r="82" spans="2:9" ht="15" customHeight="1">
      <c r="B82" s="440">
        <v>2003</v>
      </c>
      <c r="C82" s="458">
        <v>12.785122940510696</v>
      </c>
      <c r="D82" s="458">
        <v>14.133468089372872</v>
      </c>
      <c r="G82" s="458">
        <f t="shared" si="20"/>
        <v>14.08014659319586</v>
      </c>
      <c r="H82" s="458"/>
    </row>
    <row r="83" spans="2:9" ht="15" customHeight="1">
      <c r="B83" s="440">
        <v>2004</v>
      </c>
      <c r="C83" s="458">
        <v>12.510741024135845</v>
      </c>
      <c r="D83" s="458">
        <v>13.989572603855651</v>
      </c>
      <c r="G83" s="458">
        <f t="shared" si="20"/>
        <v>13.942681253092058</v>
      </c>
      <c r="H83" s="458"/>
    </row>
    <row r="84" spans="2:9" ht="15" customHeight="1">
      <c r="B84" s="440">
        <v>2005</v>
      </c>
      <c r="C84" s="458">
        <v>13.122445636534609</v>
      </c>
      <c r="D84" s="897">
        <v>14.012793169220078</v>
      </c>
      <c r="G84" s="897">
        <f t="shared" si="20"/>
        <v>14.24914526390384</v>
      </c>
      <c r="H84" s="458">
        <f>D84-G84</f>
        <v>-0.23635209468376139</v>
      </c>
    </row>
    <row r="85" spans="2:9" ht="15" customHeight="1">
      <c r="B85" s="440">
        <v>2006</v>
      </c>
      <c r="C85" s="458">
        <v>12.456791189097894</v>
      </c>
      <c r="D85" s="458">
        <v>14.197263214176463</v>
      </c>
      <c r="G85" s="458">
        <f t="shared" si="20"/>
        <v>13.915652385738046</v>
      </c>
      <c r="H85" s="458"/>
    </row>
    <row r="86" spans="2:9" ht="15" customHeight="1">
      <c r="B86" s="440">
        <v>2007</v>
      </c>
      <c r="C86" s="458">
        <v>12.89532235155802</v>
      </c>
      <c r="D86" s="897">
        <v>14.582003847614923</v>
      </c>
      <c r="G86" s="897">
        <f t="shared" si="20"/>
        <v>14.135356498130569</v>
      </c>
      <c r="H86" s="458">
        <f>D86-G86</f>
        <v>0.44664734948435303</v>
      </c>
    </row>
    <row r="87" spans="2:9" ht="15" customHeight="1">
      <c r="B87" s="440">
        <v>2008</v>
      </c>
      <c r="C87" s="458">
        <v>11.87691976823619</v>
      </c>
      <c r="D87" s="458">
        <v>13.754415335974846</v>
      </c>
      <c r="G87" s="458">
        <f t="shared" si="20"/>
        <v>13.625136803886331</v>
      </c>
      <c r="H87" s="458"/>
    </row>
    <row r="88" spans="2:9" ht="15" customHeight="1">
      <c r="B88" s="440">
        <v>2009</v>
      </c>
      <c r="C88" s="458">
        <v>11.533830549027892</v>
      </c>
      <c r="D88" s="458">
        <v>13.924896961004938</v>
      </c>
      <c r="G88" s="458">
        <f t="shared" si="20"/>
        <v>13.453249105062973</v>
      </c>
      <c r="H88" s="458"/>
    </row>
    <row r="89" spans="2:9" ht="15" customHeight="1">
      <c r="B89" s="440">
        <v>2010</v>
      </c>
      <c r="C89" s="458">
        <v>12.752437334577392</v>
      </c>
      <c r="D89" s="978">
        <v>13.223335016609584</v>
      </c>
      <c r="G89" s="978">
        <f t="shared" si="20"/>
        <v>14.063771104623275</v>
      </c>
      <c r="H89" s="458"/>
    </row>
    <row r="90" spans="2:9" ht="15" customHeight="1">
      <c r="B90" s="440">
        <v>2011</v>
      </c>
      <c r="C90" s="458">
        <v>12.908992751404748</v>
      </c>
      <c r="D90" s="897">
        <v>14.358932642777402</v>
      </c>
      <c r="G90" s="897">
        <f t="shared" si="20"/>
        <v>14.14220536845378</v>
      </c>
      <c r="H90" s="458">
        <f>D90-G90</f>
        <v>0.21672727432362215</v>
      </c>
    </row>
    <row r="91" spans="2:9" ht="15" customHeight="1">
      <c r="B91" s="440">
        <v>2012</v>
      </c>
      <c r="C91" s="458">
        <v>12.994175919414204</v>
      </c>
      <c r="D91" s="897">
        <v>14.466121533330742</v>
      </c>
      <c r="G91" s="897">
        <f t="shared" si="20"/>
        <v>14.184882135626516</v>
      </c>
      <c r="H91" s="458">
        <f>D91-G91</f>
        <v>0.28123939770422623</v>
      </c>
    </row>
    <row r="92" spans="2:9" ht="23.25" customHeight="1">
      <c r="H92" s="54" t="s">
        <v>556</v>
      </c>
    </row>
    <row r="93" spans="2:9" ht="15" customHeight="1">
      <c r="B93" s="440">
        <v>2013</v>
      </c>
      <c r="C93" s="458">
        <f>C62</f>
        <v>13.454435293186728</v>
      </c>
      <c r="D93" s="458"/>
      <c r="E93" s="458"/>
      <c r="F93" s="458"/>
      <c r="G93" s="458">
        <f>P62</f>
        <v>14.432721498578143</v>
      </c>
      <c r="H93" s="458">
        <f>AVERAGE(H75:H91)</f>
        <v>0.22935000970766861</v>
      </c>
      <c r="I93" s="897">
        <f>G93+H93</f>
        <v>14.662071508285813</v>
      </c>
    </row>
    <row r="95" spans="2:9">
      <c r="H95" s="54" t="s">
        <v>553</v>
      </c>
      <c r="I95" s="1006">
        <f>EXP(I93)</f>
        <v>2331614.5099003743</v>
      </c>
    </row>
    <row r="96" spans="2:9">
      <c r="H96" s="54" t="s">
        <v>557</v>
      </c>
      <c r="I96" s="1006">
        <f>EXP(G93)</f>
        <v>1853750.604589287</v>
      </c>
    </row>
    <row r="97" spans="8:9">
      <c r="H97" s="54" t="s">
        <v>107</v>
      </c>
      <c r="I97" s="1007">
        <f>I95-I96</f>
        <v>477863.90531108738</v>
      </c>
    </row>
  </sheetData>
  <sortState ref="A13:AE60">
    <sortCondition ref="B13"/>
  </sortState>
  <phoneticPr fontId="60" type="noConversion"/>
  <pageMargins left="0.55000000000000004" right="0.50800000000000001" top="0.5" bottom="1" header="0.5" footer="0.5"/>
  <pageSetup scale="37" orientation="portrait" horizontalDpi="300" verticalDpi="300" r:id="rId1"/>
  <headerFooter alignWithMargins="0"/>
  <rowBreaks count="1" manualBreakCount="1">
    <brk id="93" max="16383" man="1"/>
  </rowBreaks>
  <drawing r:id="rId2"/>
  <legacyDrawing r:id="rId3"/>
  <controls>
    <mc:AlternateContent xmlns:mc="http://schemas.openxmlformats.org/markup-compatibility/2006">
      <mc:Choice Requires="x14">
        <control shapeId="8210" r:id="rId4" name="CommandButton1">
          <controlPr defaultSize="0" autoLine="0" r:id="rId5">
            <anchor moveWithCells="1">
              <from>
                <xdr:col>7</xdr:col>
                <xdr:colOff>857250</xdr:colOff>
                <xdr:row>2</xdr:row>
                <xdr:rowOff>9525</xdr:rowOff>
              </from>
              <to>
                <xdr:col>12</xdr:col>
                <xdr:colOff>295275</xdr:colOff>
                <xdr:row>6</xdr:row>
                <xdr:rowOff>38100</xdr:rowOff>
              </to>
            </anchor>
          </controlPr>
        </control>
      </mc:Choice>
      <mc:Fallback>
        <control shapeId="8210" r:id="rId4" name="CommandButton1"/>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13"/>
  <dimension ref="A1:AI88"/>
  <sheetViews>
    <sheetView topLeftCell="U1" zoomScale="75" workbookViewId="0">
      <pane ySplit="11" topLeftCell="A12" activePane="bottomLeft" state="frozen"/>
      <selection activeCell="W48" sqref="W48"/>
      <selection pane="bottomLeft" activeCell="AD28" sqref="AD28"/>
    </sheetView>
  </sheetViews>
  <sheetFormatPr defaultColWidth="9.6640625" defaultRowHeight="15"/>
  <cols>
    <col min="1" max="1" width="6.21875" customWidth="1"/>
    <col min="2" max="2" width="6.6640625" customWidth="1"/>
    <col min="5" max="5" width="3.77734375" customWidth="1"/>
    <col min="6" max="6" width="4" customWidth="1"/>
    <col min="7" max="7" width="9.109375" bestFit="1" customWidth="1"/>
    <col min="8" max="8" width="8.109375" customWidth="1"/>
    <col min="9" max="9" width="12.33203125" bestFit="1" customWidth="1"/>
    <col min="13" max="13" width="9.6640625" style="10"/>
    <col min="14" max="14" width="12.21875" customWidth="1"/>
    <col min="15" max="15" width="12.5546875" bestFit="1" customWidth="1"/>
    <col min="16" max="16" width="10.21875" bestFit="1" customWidth="1"/>
    <col min="19" max="19" width="12.21875" customWidth="1"/>
    <col min="20" max="20" width="12.5546875" bestFit="1" customWidth="1"/>
    <col min="23" max="23" width="12.44140625" customWidth="1"/>
    <col min="24" max="24" width="12.109375" bestFit="1" customWidth="1"/>
    <col min="25" max="25" width="12.109375" customWidth="1"/>
  </cols>
  <sheetData>
    <row r="1" spans="1:32">
      <c r="A1" t="s">
        <v>0</v>
      </c>
      <c r="B1" s="440" t="str">
        <f ca="1">CELL("filename",B2)</f>
        <v>O:\DCF\SALMON\FORECAST\2015\[2015_Copper River Wild Sockeye forecast_FINAL.xlsm]ln13xln03</v>
      </c>
      <c r="G1" t="s">
        <v>206</v>
      </c>
      <c r="H1" s="127"/>
    </row>
    <row r="2" spans="1:32">
      <c r="G2" s="242" t="s">
        <v>154</v>
      </c>
      <c r="H2" s="149" t="s">
        <v>210</v>
      </c>
    </row>
    <row r="3" spans="1:32">
      <c r="G3" s="242" t="s">
        <v>155</v>
      </c>
      <c r="H3" s="149" t="s">
        <v>207</v>
      </c>
    </row>
    <row r="4" spans="1:32">
      <c r="G4" s="54" t="s">
        <v>252</v>
      </c>
      <c r="H4" s="13">
        <v>5</v>
      </c>
    </row>
    <row r="5" spans="1:32">
      <c r="B5" s="13"/>
      <c r="G5" s="127"/>
    </row>
    <row r="6" spans="1:32">
      <c r="B6" s="13"/>
      <c r="G6" s="127"/>
    </row>
    <row r="7" spans="1:32">
      <c r="G7" s="127"/>
    </row>
    <row r="8" spans="1:32">
      <c r="G8" s="127"/>
      <c r="AA8" t="s">
        <v>156</v>
      </c>
    </row>
    <row r="9" spans="1:32">
      <c r="A9" s="123"/>
      <c r="B9" s="123"/>
      <c r="C9" s="121" t="s">
        <v>157</v>
      </c>
      <c r="D9" s="126"/>
      <c r="E9" s="121"/>
      <c r="F9" s="119"/>
      <c r="G9" s="152"/>
      <c r="H9" s="119" t="s">
        <v>158</v>
      </c>
      <c r="I9" s="119"/>
      <c r="J9" s="119"/>
      <c r="K9" s="119"/>
      <c r="L9" s="119"/>
      <c r="M9" s="187"/>
      <c r="N9" s="121" t="s">
        <v>159</v>
      </c>
      <c r="O9" s="119"/>
      <c r="P9" s="119"/>
      <c r="Q9" s="119"/>
      <c r="R9" s="126"/>
      <c r="S9" s="121" t="s">
        <v>160</v>
      </c>
      <c r="T9" s="119"/>
      <c r="U9" s="119"/>
      <c r="V9" s="119"/>
      <c r="W9" s="126"/>
      <c r="X9" s="122" t="s">
        <v>109</v>
      </c>
      <c r="Y9" s="415" t="s">
        <v>329</v>
      </c>
      <c r="Z9" s="164" t="s">
        <v>161</v>
      </c>
      <c r="AA9" s="164" t="s">
        <v>162</v>
      </c>
      <c r="AB9" s="164" t="s">
        <v>163</v>
      </c>
      <c r="AC9" s="164" t="s">
        <v>164</v>
      </c>
      <c r="AD9" s="158" t="s">
        <v>25</v>
      </c>
      <c r="AE9" s="159"/>
    </row>
    <row r="10" spans="1:32">
      <c r="A10" s="100" t="s">
        <v>23</v>
      </c>
      <c r="B10" s="139" t="s">
        <v>29</v>
      </c>
      <c r="C10" s="209" t="s">
        <v>165</v>
      </c>
      <c r="D10" s="209" t="s">
        <v>166</v>
      </c>
      <c r="E10" s="123"/>
      <c r="F10" s="123"/>
      <c r="G10" s="133"/>
      <c r="H10" s="123"/>
      <c r="I10" s="209" t="s">
        <v>167</v>
      </c>
      <c r="J10" s="209" t="s">
        <v>168</v>
      </c>
      <c r="K10" s="209" t="s">
        <v>167</v>
      </c>
      <c r="L10" s="123"/>
      <c r="M10" s="225" t="s">
        <v>169</v>
      </c>
      <c r="N10" s="123"/>
      <c r="O10" s="123"/>
      <c r="P10" s="122" t="s">
        <v>24</v>
      </c>
      <c r="Q10" s="122" t="s">
        <v>170</v>
      </c>
      <c r="R10" s="122" t="s">
        <v>171</v>
      </c>
      <c r="S10" s="123"/>
      <c r="T10" s="123"/>
      <c r="U10" s="122" t="s">
        <v>24</v>
      </c>
      <c r="V10" s="122" t="s">
        <v>170</v>
      </c>
      <c r="W10" s="122" t="s">
        <v>171</v>
      </c>
      <c r="X10" s="100" t="s">
        <v>115</v>
      </c>
      <c r="Y10" s="416" t="s">
        <v>323</v>
      </c>
      <c r="Z10" s="139"/>
      <c r="AA10" s="122" t="s">
        <v>172</v>
      </c>
      <c r="AB10" s="122" t="s">
        <v>112</v>
      </c>
      <c r="AC10" s="122" t="s">
        <v>29</v>
      </c>
      <c r="AD10" s="164" t="s">
        <v>173</v>
      </c>
      <c r="AE10" s="164" t="s">
        <v>174</v>
      </c>
    </row>
    <row r="11" spans="1:32" ht="16.5">
      <c r="A11" s="125" t="s">
        <v>27</v>
      </c>
      <c r="B11" s="27" t="s">
        <v>27</v>
      </c>
      <c r="C11" s="163" t="s">
        <v>161</v>
      </c>
      <c r="D11" s="214" t="s">
        <v>240</v>
      </c>
      <c r="E11" s="188" t="s">
        <v>175</v>
      </c>
      <c r="F11" s="188" t="s">
        <v>176</v>
      </c>
      <c r="G11" s="214" t="s">
        <v>152</v>
      </c>
      <c r="H11" s="215" t="s">
        <v>177</v>
      </c>
      <c r="I11" s="216" t="s">
        <v>177</v>
      </c>
      <c r="J11" s="214" t="s">
        <v>239</v>
      </c>
      <c r="K11" s="188" t="s">
        <v>168</v>
      </c>
      <c r="L11" s="188" t="s">
        <v>241</v>
      </c>
      <c r="M11" s="217" t="s">
        <v>178</v>
      </c>
      <c r="N11" s="188" t="s">
        <v>242</v>
      </c>
      <c r="O11" s="217" t="s">
        <v>243</v>
      </c>
      <c r="P11" s="214" t="s">
        <v>239</v>
      </c>
      <c r="Q11" s="188" t="s">
        <v>244</v>
      </c>
      <c r="R11" s="188" t="s">
        <v>244</v>
      </c>
      <c r="S11" s="188" t="s">
        <v>242</v>
      </c>
      <c r="T11" s="217" t="s">
        <v>243</v>
      </c>
      <c r="U11" s="214" t="s">
        <v>239</v>
      </c>
      <c r="V11" s="188" t="s">
        <v>244</v>
      </c>
      <c r="W11" s="188" t="s">
        <v>244</v>
      </c>
      <c r="X11" s="234" t="s">
        <v>245</v>
      </c>
      <c r="Y11" s="555" t="s">
        <v>115</v>
      </c>
      <c r="Z11" s="125" t="s">
        <v>200</v>
      </c>
      <c r="AA11" s="125" t="s">
        <v>179</v>
      </c>
      <c r="AB11" s="125" t="s">
        <v>179</v>
      </c>
      <c r="AC11" s="125" t="s">
        <v>27</v>
      </c>
      <c r="AD11" s="164" t="s">
        <v>170</v>
      </c>
      <c r="AE11" s="164" t="s">
        <v>171</v>
      </c>
      <c r="AF11" s="164" t="s">
        <v>111</v>
      </c>
    </row>
    <row r="12" spans="1:32">
      <c r="A12" s="36"/>
      <c r="B12" s="31"/>
      <c r="C12" s="31"/>
      <c r="D12" s="31"/>
      <c r="E12" s="31"/>
      <c r="F12" s="31"/>
      <c r="G12" s="131"/>
      <c r="H12" s="31"/>
      <c r="I12" s="31"/>
      <c r="J12" s="31"/>
      <c r="K12" s="31"/>
      <c r="L12" s="31"/>
      <c r="M12" s="145"/>
      <c r="N12" s="31"/>
      <c r="O12" s="31"/>
      <c r="P12" s="31"/>
      <c r="Q12" s="31"/>
      <c r="R12" s="31"/>
      <c r="S12" s="31"/>
      <c r="T12" s="31"/>
      <c r="U12" s="31"/>
      <c r="V12" s="31"/>
      <c r="W12" s="31"/>
      <c r="X12" s="46"/>
      <c r="Y12" s="46"/>
      <c r="Z12" s="123"/>
      <c r="AA12" s="123"/>
      <c r="AB12" s="123"/>
      <c r="AC12" s="123"/>
      <c r="AD12" s="36"/>
      <c r="AE12" s="46"/>
    </row>
    <row r="13" spans="1:32">
      <c r="A13" s="134">
        <v>1962</v>
      </c>
      <c r="B13" s="440">
        <f t="shared" ref="B13:B60" si="0">A13+$H$4</f>
        <v>1967</v>
      </c>
      <c r="C13" s="458">
        <f>VLOOKUP($A13,'Brd Tbl'!$A$8:$AX$64,12)</f>
        <v>10.772558121886703</v>
      </c>
      <c r="D13" s="458">
        <f>VLOOKUP($A13,'Brd Tbl'!$A$8:$AX$64,23)</f>
        <v>13.237120983130074</v>
      </c>
      <c r="E13" s="7">
        <v>47</v>
      </c>
      <c r="F13" s="7">
        <v>45</v>
      </c>
      <c r="G13" s="576">
        <v>12.443468141055156</v>
      </c>
      <c r="H13" s="576">
        <v>0.12967131322023634</v>
      </c>
      <c r="I13" s="579">
        <v>4.385027684897308E-2</v>
      </c>
      <c r="J13" s="7">
        <v>13.840359899461529</v>
      </c>
      <c r="K13" s="7">
        <v>0.44857276243548327</v>
      </c>
      <c r="L13" s="7">
        <v>0.16270757968299165</v>
      </c>
      <c r="M13" s="576">
        <v>0.2127110518918032</v>
      </c>
      <c r="N13" s="440">
        <f t="shared" ref="N13:N60" si="1">D13-J13</f>
        <v>-0.60323891633145443</v>
      </c>
      <c r="O13" s="440">
        <f t="shared" ref="O13:O60" si="2">N13^2</f>
        <v>0.36389719017674749</v>
      </c>
      <c r="P13" s="465">
        <f t="shared" ref="P13:P60" si="3">J13</f>
        <v>13.840359899461529</v>
      </c>
      <c r="Q13" s="440">
        <f t="shared" ref="Q13:Q39" si="4">$P13-SQRT($O$64)*$Q$64</f>
        <v>13.245654354157454</v>
      </c>
      <c r="R13" s="440">
        <f t="shared" ref="R13:R39" si="5">$P13+SQRT($O$64)*$Q$64</f>
        <v>14.435065444765604</v>
      </c>
      <c r="S13" s="466">
        <f t="shared" ref="S13:S59" si="6">EXP(D13)-U13</f>
        <v>-464359.8923045384</v>
      </c>
      <c r="T13" s="440">
        <f t="shared" ref="T13:T60" si="7">S13^2</f>
        <v>215630109581.08249</v>
      </c>
      <c r="U13" s="466">
        <f t="shared" ref="U13:U60" si="8">EXP(P13)</f>
        <v>1025160.6597192374</v>
      </c>
      <c r="V13" s="467">
        <f t="shared" ref="V13:V60" si="9">EXP(Q13)</f>
        <v>565606.76495183085</v>
      </c>
      <c r="W13" s="467">
        <f t="shared" ref="W13:W60" si="10">EXP(R13)</f>
        <v>1858100.7925629832</v>
      </c>
      <c r="X13" s="468">
        <f t="shared" ref="X13:X60" si="11">(+U13-EXP(D13))/(EXP(D13))</f>
        <v>0.82803005859860956</v>
      </c>
      <c r="Y13" s="468">
        <f t="shared" ref="Y13:Y60" si="12">ABS(X13)</f>
        <v>0.82803005859860956</v>
      </c>
      <c r="Z13" s="517">
        <f t="shared" ref="Z13:Z60" si="13">C13</f>
        <v>10.772558121886703</v>
      </c>
      <c r="AA13" s="471">
        <f t="shared" ref="AA13:AA60" si="14">(+G$62+H$62*C13)</f>
        <v>13.827609530387036</v>
      </c>
      <c r="AB13" s="473">
        <f t="shared" ref="AB13:AB60" si="15">D13</f>
        <v>13.237120983130074</v>
      </c>
      <c r="AC13" s="801">
        <f t="shared" ref="AC13:AC45" si="16">B13-1900</f>
        <v>67</v>
      </c>
      <c r="AD13" s="435">
        <f t="shared" ref="AD13:AD60" si="17">AA13-SQRT($O$64)*$Q$64</f>
        <v>13.232903985082961</v>
      </c>
      <c r="AE13" s="441">
        <f t="shared" ref="AE13:AE60" si="18">AA13+SQRT($O$64)*$Q$64</f>
        <v>14.422315075691111</v>
      </c>
    </row>
    <row r="14" spans="1:32">
      <c r="A14" s="134">
        <v>1963</v>
      </c>
      <c r="B14" s="440">
        <f t="shared" si="0"/>
        <v>1968</v>
      </c>
      <c r="C14" s="458">
        <f>VLOOKUP($A14,'Brd Tbl'!$A$8:$AX$64,12)</f>
        <v>8.3513880672186342</v>
      </c>
      <c r="D14" s="458">
        <f>VLOOKUP($A14,'Brd Tbl'!$A$8:$AX$64,23)</f>
        <v>13.106071709770401</v>
      </c>
      <c r="E14" s="7">
        <v>47</v>
      </c>
      <c r="F14" s="7">
        <v>45</v>
      </c>
      <c r="G14" s="576">
        <v>12.550932096258371</v>
      </c>
      <c r="H14" s="576">
        <v>0.11920766088614715</v>
      </c>
      <c r="I14" s="579">
        <v>4.5394729101393708E-2</v>
      </c>
      <c r="J14" s="7">
        <v>13.546481532903986</v>
      </c>
      <c r="K14" s="7">
        <v>0.45290167212599403</v>
      </c>
      <c r="L14" s="7">
        <v>0.13288120586815239</v>
      </c>
      <c r="M14" s="576">
        <v>0.21632671950593491</v>
      </c>
      <c r="N14" s="440">
        <f t="shared" si="1"/>
        <v>-0.44040982313358512</v>
      </c>
      <c r="O14" s="440">
        <f t="shared" si="2"/>
        <v>0.19396081231255574</v>
      </c>
      <c r="P14" s="465">
        <f t="shared" si="3"/>
        <v>13.546481532903986</v>
      </c>
      <c r="Q14" s="440">
        <f t="shared" si="4"/>
        <v>12.951775987599911</v>
      </c>
      <c r="R14" s="440">
        <f t="shared" si="5"/>
        <v>14.141187078208061</v>
      </c>
      <c r="S14" s="466">
        <f t="shared" si="6"/>
        <v>-272200.91475393414</v>
      </c>
      <c r="T14" s="440">
        <f t="shared" si="7"/>
        <v>74093337992.878525</v>
      </c>
      <c r="U14" s="466">
        <f t="shared" si="8"/>
        <v>764121.07666600961</v>
      </c>
      <c r="V14" s="467">
        <f t="shared" si="9"/>
        <v>421584.7009998773</v>
      </c>
      <c r="W14" s="467">
        <f t="shared" si="10"/>
        <v>1384967.2875235376</v>
      </c>
      <c r="X14" s="468">
        <f t="shared" si="11"/>
        <v>0.55334368425945224</v>
      </c>
      <c r="Y14" s="468">
        <f t="shared" si="12"/>
        <v>0.55334368425945224</v>
      </c>
      <c r="Z14" s="517">
        <f t="shared" si="13"/>
        <v>8.3513880672186342</v>
      </c>
      <c r="AA14" s="471">
        <f t="shared" si="14"/>
        <v>13.516138874871308</v>
      </c>
      <c r="AB14" s="473">
        <f t="shared" si="15"/>
        <v>13.106071709770401</v>
      </c>
      <c r="AC14" s="801">
        <f t="shared" si="16"/>
        <v>68</v>
      </c>
      <c r="AD14" s="435">
        <f t="shared" si="17"/>
        <v>12.921433329567233</v>
      </c>
      <c r="AE14" s="441">
        <f t="shared" si="18"/>
        <v>14.110844420175383</v>
      </c>
    </row>
    <row r="15" spans="1:32">
      <c r="A15" s="134">
        <v>1964</v>
      </c>
      <c r="B15" s="440">
        <f t="shared" si="0"/>
        <v>1969</v>
      </c>
      <c r="C15" s="458">
        <f>VLOOKUP($A15,'Brd Tbl'!$A$8:$AX$64,12)</f>
        <v>8.7579462835897282</v>
      </c>
      <c r="D15" s="458">
        <f>VLOOKUP($A15,'Brd Tbl'!$A$8:$AX$64,23)</f>
        <v>13.636544025217798</v>
      </c>
      <c r="E15" s="7">
        <v>47</v>
      </c>
      <c r="F15" s="7">
        <v>45</v>
      </c>
      <c r="G15" s="576">
        <v>12.426911464913111</v>
      </c>
      <c r="H15" s="576">
        <v>0.12990642635346056</v>
      </c>
      <c r="I15" s="579">
        <v>4.5439748718894016E-2</v>
      </c>
      <c r="J15" s="7">
        <v>13.564624968809824</v>
      </c>
      <c r="K15" s="7">
        <v>0.45719182137274833</v>
      </c>
      <c r="L15" s="7">
        <v>0.15370820350225731</v>
      </c>
      <c r="M15" s="576">
        <v>0.2203434952854656</v>
      </c>
      <c r="N15" s="440">
        <f t="shared" si="1"/>
        <v>7.191905640797458E-2</v>
      </c>
      <c r="O15" s="440">
        <f t="shared" si="2"/>
        <v>5.1723506746134294E-3</v>
      </c>
      <c r="P15" s="465">
        <f t="shared" si="3"/>
        <v>13.564624968809824</v>
      </c>
      <c r="Q15" s="440">
        <f t="shared" si="4"/>
        <v>12.969919423505749</v>
      </c>
      <c r="R15" s="440">
        <f t="shared" si="5"/>
        <v>14.159330514113899</v>
      </c>
      <c r="S15" s="466">
        <f t="shared" si="6"/>
        <v>58022.491184759187</v>
      </c>
      <c r="T15" s="440">
        <f t="shared" si="7"/>
        <v>3366609483.2854576</v>
      </c>
      <c r="U15" s="466">
        <f t="shared" si="8"/>
        <v>778111.3908486329</v>
      </c>
      <c r="V15" s="467">
        <f t="shared" si="9"/>
        <v>429303.50709185161</v>
      </c>
      <c r="W15" s="467">
        <f t="shared" si="10"/>
        <v>1410324.6923600214</v>
      </c>
      <c r="X15" s="468">
        <f t="shared" si="11"/>
        <v>-6.9393780627157967E-2</v>
      </c>
      <c r="Y15" s="468">
        <f t="shared" si="12"/>
        <v>6.9393780627157967E-2</v>
      </c>
      <c r="Z15" s="517">
        <f t="shared" si="13"/>
        <v>8.7579462835897282</v>
      </c>
      <c r="AA15" s="471">
        <f t="shared" si="14"/>
        <v>13.56844042796307</v>
      </c>
      <c r="AB15" s="473">
        <f t="shared" si="15"/>
        <v>13.636544025217798</v>
      </c>
      <c r="AC15" s="801">
        <f t="shared" si="16"/>
        <v>69</v>
      </c>
      <c r="AD15" s="435">
        <f t="shared" si="17"/>
        <v>12.973734882658995</v>
      </c>
      <c r="AE15" s="441">
        <f t="shared" si="18"/>
        <v>14.163145973267145</v>
      </c>
    </row>
    <row r="16" spans="1:32">
      <c r="A16" s="134">
        <v>1965</v>
      </c>
      <c r="B16" s="440">
        <f t="shared" si="0"/>
        <v>1970</v>
      </c>
      <c r="C16" s="458">
        <f>VLOOKUP($A16,'Brd Tbl'!$A$8:$AX$64,12)</f>
        <v>5.9381241906021609</v>
      </c>
      <c r="D16" s="458">
        <f>VLOOKUP($A16,'Brd Tbl'!$A$8:$AX$64,23)</f>
        <v>13.934935302361204</v>
      </c>
      <c r="E16" s="7">
        <v>47</v>
      </c>
      <c r="F16" s="7">
        <v>45</v>
      </c>
      <c r="G16" s="576">
        <v>11.976961179600362</v>
      </c>
      <c r="H16" s="576">
        <v>0.17066094447252114</v>
      </c>
      <c r="I16" s="579">
        <v>4.8460168352624372E-2</v>
      </c>
      <c r="J16" s="7">
        <v>12.990367062363653</v>
      </c>
      <c r="K16" s="7">
        <v>0.44025668853002065</v>
      </c>
      <c r="L16" s="7">
        <v>0.21605781264853363</v>
      </c>
      <c r="M16" s="576">
        <v>0.20147037168254095</v>
      </c>
      <c r="N16" s="440">
        <f t="shared" si="1"/>
        <v>0.94456823999755102</v>
      </c>
      <c r="O16" s="440">
        <f t="shared" si="2"/>
        <v>0.89220916001207118</v>
      </c>
      <c r="P16" s="465">
        <f t="shared" si="3"/>
        <v>12.990367062363653</v>
      </c>
      <c r="Q16" s="440">
        <f t="shared" si="4"/>
        <v>12.395661517059578</v>
      </c>
      <c r="R16" s="440">
        <f t="shared" si="5"/>
        <v>13.585072607667728</v>
      </c>
      <c r="S16" s="466">
        <f t="shared" si="6"/>
        <v>688676.32703424164</v>
      </c>
      <c r="T16" s="440">
        <f t="shared" si="7"/>
        <v>474275083417.37372</v>
      </c>
      <c r="U16" s="466">
        <f t="shared" si="8"/>
        <v>438172.11218312208</v>
      </c>
      <c r="V16" s="467">
        <f t="shared" si="9"/>
        <v>241750.50858065594</v>
      </c>
      <c r="W16" s="467">
        <f t="shared" si="10"/>
        <v>794185.71246133582</v>
      </c>
      <c r="X16" s="468">
        <f t="shared" si="11"/>
        <v>-0.61115257657236655</v>
      </c>
      <c r="Y16" s="468">
        <f t="shared" si="12"/>
        <v>0.61115257657236655</v>
      </c>
      <c r="Z16" s="517">
        <f t="shared" si="13"/>
        <v>5.9381241906021609</v>
      </c>
      <c r="AA16" s="471">
        <f t="shared" si="14"/>
        <v>13.205685307129157</v>
      </c>
      <c r="AB16" s="473">
        <f t="shared" si="15"/>
        <v>13.934935302361204</v>
      </c>
      <c r="AC16" s="801">
        <f t="shared" si="16"/>
        <v>70</v>
      </c>
      <c r="AD16" s="435">
        <f t="shared" si="17"/>
        <v>12.610979761825082</v>
      </c>
      <c r="AE16" s="441">
        <f t="shared" si="18"/>
        <v>13.800390852433232</v>
      </c>
    </row>
    <row r="17" spans="1:31">
      <c r="A17" s="134">
        <v>1966</v>
      </c>
      <c r="B17" s="440">
        <f t="shared" si="0"/>
        <v>1971</v>
      </c>
      <c r="C17" s="458">
        <f>VLOOKUP($A17,'Brd Tbl'!$A$8:$AX$64,12)</f>
        <v>8.3390313888342202</v>
      </c>
      <c r="D17" s="458">
        <f>VLOOKUP($A17,'Brd Tbl'!$A$8:$AX$64,23)</f>
        <v>13.695125080202772</v>
      </c>
      <c r="E17" s="7">
        <v>47</v>
      </c>
      <c r="F17" s="7">
        <v>45</v>
      </c>
      <c r="G17" s="576">
        <v>12.393440001424279</v>
      </c>
      <c r="H17" s="576">
        <v>0.13282561744603158</v>
      </c>
      <c r="I17" s="579">
        <v>4.5764303051047305E-2</v>
      </c>
      <c r="J17" s="7">
        <v>13.501076994548022</v>
      </c>
      <c r="K17" s="7">
        <v>0.45645868309792337</v>
      </c>
      <c r="L17" s="7">
        <v>0.15767937881686594</v>
      </c>
      <c r="M17" s="576">
        <v>0.21965238233074941</v>
      </c>
      <c r="N17" s="440">
        <f t="shared" si="1"/>
        <v>0.19404808565474951</v>
      </c>
      <c r="O17" s="440">
        <f t="shared" si="2"/>
        <v>3.7654659546273006E-2</v>
      </c>
      <c r="P17" s="465">
        <f t="shared" si="3"/>
        <v>13.501076994548022</v>
      </c>
      <c r="Q17" s="440">
        <f t="shared" si="4"/>
        <v>12.906371449243947</v>
      </c>
      <c r="R17" s="440">
        <f t="shared" si="5"/>
        <v>14.095782539852097</v>
      </c>
      <c r="S17" s="466">
        <f t="shared" si="6"/>
        <v>156376.24401475431</v>
      </c>
      <c r="T17" s="440">
        <f t="shared" si="7"/>
        <v>24453529692.161983</v>
      </c>
      <c r="U17" s="466">
        <f t="shared" si="8"/>
        <v>730202.370484491</v>
      </c>
      <c r="V17" s="467">
        <f t="shared" si="9"/>
        <v>402870.90283292992</v>
      </c>
      <c r="W17" s="467">
        <f t="shared" si="10"/>
        <v>1323489.7286247683</v>
      </c>
      <c r="X17" s="468">
        <f t="shared" si="11"/>
        <v>-0.17638170090881142</v>
      </c>
      <c r="Y17" s="468">
        <f t="shared" si="12"/>
        <v>0.17638170090881142</v>
      </c>
      <c r="Z17" s="517">
        <f t="shared" si="13"/>
        <v>8.3390313888342202</v>
      </c>
      <c r="AA17" s="471">
        <f t="shared" si="14"/>
        <v>13.514549253890753</v>
      </c>
      <c r="AB17" s="473">
        <f t="shared" si="15"/>
        <v>13.695125080202772</v>
      </c>
      <c r="AC17" s="801">
        <f t="shared" si="16"/>
        <v>71</v>
      </c>
      <c r="AD17" s="435">
        <f t="shared" si="17"/>
        <v>12.919843708586678</v>
      </c>
      <c r="AE17" s="441">
        <f t="shared" si="18"/>
        <v>14.109254799194828</v>
      </c>
    </row>
    <row r="18" spans="1:31">
      <c r="A18" s="134">
        <v>1967</v>
      </c>
      <c r="B18" s="440">
        <f t="shared" si="0"/>
        <v>1972</v>
      </c>
      <c r="C18" s="458">
        <f>VLOOKUP($A18,'Brd Tbl'!$A$8:$AX$64,12)</f>
        <v>7.7507051389466728</v>
      </c>
      <c r="D18" s="458">
        <f>VLOOKUP($A18,'Brd Tbl'!$A$8:$AX$64,23)</f>
        <v>13.469993411243443</v>
      </c>
      <c r="E18" s="7">
        <v>47</v>
      </c>
      <c r="F18" s="7">
        <v>45</v>
      </c>
      <c r="G18" s="576">
        <v>12.43112450043852</v>
      </c>
      <c r="H18" s="576">
        <v>0.1295823143086122</v>
      </c>
      <c r="I18" s="579">
        <v>4.6569829520740527E-2</v>
      </c>
      <c r="J18" s="7">
        <v>13.435478809866883</v>
      </c>
      <c r="K18" s="7">
        <v>0.4572847351079623</v>
      </c>
      <c r="L18" s="7">
        <v>0.14679839805869199</v>
      </c>
      <c r="M18" s="576">
        <v>0.22042819939113434</v>
      </c>
      <c r="N18" s="440">
        <f t="shared" si="1"/>
        <v>3.4514601376560705E-2</v>
      </c>
      <c r="O18" s="440">
        <f t="shared" si="2"/>
        <v>1.1912577081828861E-3</v>
      </c>
      <c r="P18" s="465">
        <f t="shared" si="3"/>
        <v>13.435478809866883</v>
      </c>
      <c r="Q18" s="440">
        <f t="shared" si="4"/>
        <v>12.840773264562808</v>
      </c>
      <c r="R18" s="440">
        <f t="shared" si="5"/>
        <v>14.030184355170958</v>
      </c>
      <c r="S18" s="466">
        <f t="shared" si="6"/>
        <v>24014.496063163388</v>
      </c>
      <c r="T18" s="440">
        <f t="shared" si="7"/>
        <v>576696021.1676898</v>
      </c>
      <c r="U18" s="466">
        <f t="shared" si="8"/>
        <v>683839.69825837656</v>
      </c>
      <c r="V18" s="467">
        <f t="shared" si="9"/>
        <v>377291.45750041353</v>
      </c>
      <c r="W18" s="467">
        <f t="shared" si="10"/>
        <v>1239457.5165105478</v>
      </c>
      <c r="X18" s="468">
        <f t="shared" si="11"/>
        <v>-3.392576643016245E-2</v>
      </c>
      <c r="Y18" s="468">
        <f t="shared" si="12"/>
        <v>3.392576643016245E-2</v>
      </c>
      <c r="Z18" s="517">
        <f t="shared" si="13"/>
        <v>7.7507051389466728</v>
      </c>
      <c r="AA18" s="471">
        <f t="shared" si="14"/>
        <v>13.438864209646843</v>
      </c>
      <c r="AB18" s="473">
        <f t="shared" si="15"/>
        <v>13.469993411243443</v>
      </c>
      <c r="AC18" s="801">
        <f t="shared" si="16"/>
        <v>72</v>
      </c>
      <c r="AD18" s="435">
        <f t="shared" si="17"/>
        <v>12.844158664342768</v>
      </c>
      <c r="AE18" s="441">
        <f t="shared" si="18"/>
        <v>14.033569754950918</v>
      </c>
    </row>
    <row r="19" spans="1:31">
      <c r="A19" s="134">
        <v>1968</v>
      </c>
      <c r="B19" s="440">
        <f t="shared" si="0"/>
        <v>1973</v>
      </c>
      <c r="C19" s="458">
        <f>VLOOKUP($A19,'Brd Tbl'!$A$8:$AX$64,12)</f>
        <v>9.7741257277297162</v>
      </c>
      <c r="D19" s="458">
        <f>VLOOKUP($A19,'Brd Tbl'!$A$8:$AX$64,23)</f>
        <v>13.292926891590582</v>
      </c>
      <c r="E19" s="7">
        <v>47</v>
      </c>
      <c r="F19" s="7">
        <v>45</v>
      </c>
      <c r="G19" s="576">
        <v>12.485149154540704</v>
      </c>
      <c r="H19" s="576">
        <v>0.1253720670956146</v>
      </c>
      <c r="I19" s="579">
        <v>4.443892968864651E-2</v>
      </c>
      <c r="J19" s="7">
        <v>13.710551501078607</v>
      </c>
      <c r="K19" s="7">
        <v>0.45317003315896442</v>
      </c>
      <c r="L19" s="7">
        <v>0.15029074193675876</v>
      </c>
      <c r="M19" s="576">
        <v>0.2167426875455632</v>
      </c>
      <c r="N19" s="440">
        <f t="shared" si="1"/>
        <v>-0.41762460948802449</v>
      </c>
      <c r="O19" s="440">
        <f t="shared" si="2"/>
        <v>0.17441031445002494</v>
      </c>
      <c r="P19" s="465">
        <f t="shared" si="3"/>
        <v>13.710551501078607</v>
      </c>
      <c r="Q19" s="440">
        <f t="shared" si="4"/>
        <v>13.115845955774532</v>
      </c>
      <c r="R19" s="440">
        <f t="shared" si="5"/>
        <v>14.305257046382682</v>
      </c>
      <c r="S19" s="466">
        <f t="shared" si="6"/>
        <v>-307374.89760566072</v>
      </c>
      <c r="T19" s="440">
        <f t="shared" si="7"/>
        <v>94479327678.090408</v>
      </c>
      <c r="U19" s="466">
        <f t="shared" si="8"/>
        <v>900361.38543076499</v>
      </c>
      <c r="V19" s="467">
        <f t="shared" si="9"/>
        <v>496751.8853488905</v>
      </c>
      <c r="W19" s="467">
        <f t="shared" si="10"/>
        <v>1631902.4613373161</v>
      </c>
      <c r="X19" s="468">
        <f t="shared" si="11"/>
        <v>0.51835059300089481</v>
      </c>
      <c r="Y19" s="468">
        <f t="shared" si="12"/>
        <v>0.51835059300089481</v>
      </c>
      <c r="Z19" s="517">
        <f t="shared" si="13"/>
        <v>9.7741257277297162</v>
      </c>
      <c r="AA19" s="471">
        <f t="shared" si="14"/>
        <v>13.699166510989603</v>
      </c>
      <c r="AB19" s="473">
        <f t="shared" si="15"/>
        <v>13.292926891590582</v>
      </c>
      <c r="AC19" s="801">
        <f t="shared" si="16"/>
        <v>73</v>
      </c>
      <c r="AD19" s="435">
        <f t="shared" si="17"/>
        <v>13.104460965685528</v>
      </c>
      <c r="AE19" s="441">
        <f t="shared" si="18"/>
        <v>14.293872056293678</v>
      </c>
    </row>
    <row r="20" spans="1:31">
      <c r="A20" s="134">
        <v>1969</v>
      </c>
      <c r="B20" s="440">
        <f t="shared" si="0"/>
        <v>1974</v>
      </c>
      <c r="C20" s="458">
        <f>VLOOKUP($A20,'Brd Tbl'!$A$8:$AX$64,12)</f>
        <v>10.145609862448119</v>
      </c>
      <c r="D20" s="458">
        <f>VLOOKUP($A20,'Brd Tbl'!$A$8:$AX$64,23)</f>
        <v>13.366855574069275</v>
      </c>
      <c r="E20" s="7">
        <v>47</v>
      </c>
      <c r="F20" s="7">
        <v>45</v>
      </c>
      <c r="G20" s="576">
        <v>12.467547684023341</v>
      </c>
      <c r="H20" s="576">
        <v>0.12697707609651462</v>
      </c>
      <c r="I20" s="579">
        <v>4.4388708659024161E-2</v>
      </c>
      <c r="J20" s="7">
        <v>13.755807559572965</v>
      </c>
      <c r="K20" s="7">
        <v>0.45370458846261497</v>
      </c>
      <c r="L20" s="7">
        <v>0.15386287995549541</v>
      </c>
      <c r="M20" s="576">
        <v>0.217234744299239</v>
      </c>
      <c r="N20" s="440">
        <f t="shared" si="1"/>
        <v>-0.38895198550368981</v>
      </c>
      <c r="O20" s="440">
        <f t="shared" si="2"/>
        <v>0.15128364702726252</v>
      </c>
      <c r="P20" s="465">
        <f t="shared" si="3"/>
        <v>13.755807559572965</v>
      </c>
      <c r="Q20" s="440">
        <f t="shared" si="4"/>
        <v>13.16110201426889</v>
      </c>
      <c r="R20" s="440">
        <f t="shared" si="5"/>
        <v>14.35051310487704</v>
      </c>
      <c r="S20" s="466">
        <f t="shared" si="6"/>
        <v>-303557.93193652621</v>
      </c>
      <c r="T20" s="440">
        <f t="shared" si="7"/>
        <v>92147418041.580673</v>
      </c>
      <c r="U20" s="466">
        <f t="shared" si="8"/>
        <v>942044.28070634732</v>
      </c>
      <c r="V20" s="467">
        <f t="shared" si="9"/>
        <v>519749.38074351952</v>
      </c>
      <c r="W20" s="467">
        <f t="shared" si="10"/>
        <v>1707452.5909814744</v>
      </c>
      <c r="X20" s="468">
        <f t="shared" si="11"/>
        <v>0.47543370742600011</v>
      </c>
      <c r="Y20" s="468">
        <f t="shared" si="12"/>
        <v>0.47543370742600011</v>
      </c>
      <c r="Z20" s="517">
        <f t="shared" si="13"/>
        <v>10.145609862448119</v>
      </c>
      <c r="AA20" s="471">
        <f t="shared" si="14"/>
        <v>13.746955969946171</v>
      </c>
      <c r="AB20" s="473">
        <f t="shared" si="15"/>
        <v>13.366855574069275</v>
      </c>
      <c r="AC20" s="801">
        <f t="shared" si="16"/>
        <v>74</v>
      </c>
      <c r="AD20" s="435">
        <f t="shared" si="17"/>
        <v>13.152250424642096</v>
      </c>
      <c r="AE20" s="441">
        <f t="shared" si="18"/>
        <v>14.341661515250246</v>
      </c>
    </row>
    <row r="21" spans="1:31">
      <c r="A21" s="134">
        <v>1970</v>
      </c>
      <c r="B21" s="440">
        <f t="shared" si="0"/>
        <v>1975</v>
      </c>
      <c r="C21" s="458">
        <f>VLOOKUP($A21,'Brd Tbl'!$A$8:$AX$64,12)</f>
        <v>8.8651800515007348</v>
      </c>
      <c r="D21" s="458">
        <f>VLOOKUP($A21,'Brd Tbl'!$A$8:$AX$64,23)</f>
        <v>12.755967055394713</v>
      </c>
      <c r="E21" s="7">
        <v>47</v>
      </c>
      <c r="F21" s="7">
        <v>45</v>
      </c>
      <c r="G21" s="576">
        <v>12.61200945567999</v>
      </c>
      <c r="H21" s="576">
        <v>0.11428581164476252</v>
      </c>
      <c r="I21" s="579">
        <v>4.3598841386470098E-2</v>
      </c>
      <c r="J21" s="7">
        <v>13.625173753242709</v>
      </c>
      <c r="K21" s="7">
        <v>0.43951478712562619</v>
      </c>
      <c r="L21" s="7">
        <v>0.13246713931511581</v>
      </c>
      <c r="M21" s="576">
        <v>0.20437864564909955</v>
      </c>
      <c r="N21" s="440">
        <f t="shared" si="1"/>
        <v>-0.86920669784799642</v>
      </c>
      <c r="O21" s="440">
        <f t="shared" si="2"/>
        <v>0.75552028358381818</v>
      </c>
      <c r="P21" s="465">
        <f t="shared" si="3"/>
        <v>13.625173753242709</v>
      </c>
      <c r="Q21" s="440">
        <f t="shared" si="4"/>
        <v>13.030468207938634</v>
      </c>
      <c r="R21" s="440">
        <f t="shared" si="5"/>
        <v>14.219879298546784</v>
      </c>
      <c r="S21" s="466">
        <f t="shared" si="6"/>
        <v>-480066.65447962529</v>
      </c>
      <c r="T21" s="440">
        <f t="shared" si="7"/>
        <v>230463992743.25992</v>
      </c>
      <c r="U21" s="466">
        <f t="shared" si="8"/>
        <v>826680.65710129915</v>
      </c>
      <c r="V21" s="467">
        <f t="shared" si="9"/>
        <v>456100.38551359897</v>
      </c>
      <c r="W21" s="467">
        <f t="shared" si="10"/>
        <v>1498356.3498984582</v>
      </c>
      <c r="X21" s="468">
        <f t="shared" si="11"/>
        <v>1.3850180628842448</v>
      </c>
      <c r="Y21" s="468">
        <f t="shared" si="12"/>
        <v>1.3850180628842448</v>
      </c>
      <c r="Z21" s="517">
        <f t="shared" si="13"/>
        <v>8.8651800515007348</v>
      </c>
      <c r="AA21" s="471">
        <f t="shared" si="14"/>
        <v>13.582235482102398</v>
      </c>
      <c r="AB21" s="473">
        <f t="shared" si="15"/>
        <v>12.755967055394713</v>
      </c>
      <c r="AC21" s="801">
        <f t="shared" si="16"/>
        <v>75</v>
      </c>
      <c r="AD21" s="435">
        <f t="shared" si="17"/>
        <v>12.987529936798323</v>
      </c>
      <c r="AE21" s="441">
        <f t="shared" si="18"/>
        <v>14.176941027406473</v>
      </c>
    </row>
    <row r="22" spans="1:31">
      <c r="A22" s="134">
        <v>1971</v>
      </c>
      <c r="B22" s="440">
        <f t="shared" si="0"/>
        <v>1976</v>
      </c>
      <c r="C22" s="458">
        <f>VLOOKUP($A22,'Brd Tbl'!$A$8:$AX$64,12)</f>
        <v>8.0935587151970356</v>
      </c>
      <c r="D22" s="458">
        <f>VLOOKUP($A22,'Brd Tbl'!$A$8:$AX$64,23)</f>
        <v>13.754613147674856</v>
      </c>
      <c r="E22" s="7">
        <v>47</v>
      </c>
      <c r="F22" s="7">
        <v>45</v>
      </c>
      <c r="G22" s="576">
        <v>12.360840588381823</v>
      </c>
      <c r="H22" s="576">
        <v>0.13570325437680053</v>
      </c>
      <c r="I22" s="579">
        <v>4.5929896837195235E-2</v>
      </c>
      <c r="J22" s="7">
        <v>13.459162845523776</v>
      </c>
      <c r="K22" s="7">
        <v>0.45535669322262534</v>
      </c>
      <c r="L22" s="7">
        <v>0.16247133593846544</v>
      </c>
      <c r="M22" s="576">
        <v>0.2185962925117092</v>
      </c>
      <c r="N22" s="440">
        <f t="shared" si="1"/>
        <v>0.29545030215107992</v>
      </c>
      <c r="O22" s="440">
        <f t="shared" si="2"/>
        <v>8.729088104116442E-2</v>
      </c>
      <c r="P22" s="465">
        <f t="shared" si="3"/>
        <v>13.459162845523776</v>
      </c>
      <c r="Q22" s="440">
        <f t="shared" si="4"/>
        <v>12.864457300219701</v>
      </c>
      <c r="R22" s="440">
        <f t="shared" si="5"/>
        <v>14.053868390827851</v>
      </c>
      <c r="S22" s="466">
        <f t="shared" si="6"/>
        <v>240690.66397996247</v>
      </c>
      <c r="T22" s="440">
        <f t="shared" si="7"/>
        <v>57931995727.115204</v>
      </c>
      <c r="U22" s="466">
        <f t="shared" si="8"/>
        <v>700229.09953101131</v>
      </c>
      <c r="V22" s="467">
        <f t="shared" si="9"/>
        <v>386333.89991705009</v>
      </c>
      <c r="W22" s="467">
        <f t="shared" si="10"/>
        <v>1269163.2599036428</v>
      </c>
      <c r="X22" s="468">
        <f t="shared" si="11"/>
        <v>-0.25580360123571294</v>
      </c>
      <c r="Y22" s="468">
        <f t="shared" si="12"/>
        <v>0.25580360123571294</v>
      </c>
      <c r="Z22" s="517">
        <f t="shared" si="13"/>
        <v>8.0935587151970356</v>
      </c>
      <c r="AA22" s="471">
        <f t="shared" si="14"/>
        <v>13.482970499469285</v>
      </c>
      <c r="AB22" s="473">
        <f t="shared" si="15"/>
        <v>13.754613147674856</v>
      </c>
      <c r="AC22" s="801">
        <f t="shared" si="16"/>
        <v>76</v>
      </c>
      <c r="AD22" s="435">
        <f t="shared" si="17"/>
        <v>12.88826495416521</v>
      </c>
      <c r="AE22" s="441">
        <f t="shared" si="18"/>
        <v>14.07767604477336</v>
      </c>
    </row>
    <row r="23" spans="1:31">
      <c r="A23" s="178">
        <v>1972</v>
      </c>
      <c r="B23" s="440">
        <f t="shared" si="0"/>
        <v>1977</v>
      </c>
      <c r="C23" s="458">
        <f>VLOOKUP($A23,'Brd Tbl'!$A$8:$AX$64,12)</f>
        <v>9.4293031174291908</v>
      </c>
      <c r="D23" s="458">
        <f>VLOOKUP($A23,'Brd Tbl'!$A$8:$AX$64,23)</f>
        <v>13.648497293799361</v>
      </c>
      <c r="E23" s="7">
        <v>47</v>
      </c>
      <c r="F23" s="7">
        <v>45</v>
      </c>
      <c r="G23" s="576">
        <v>12.44268330792079</v>
      </c>
      <c r="H23" s="576">
        <v>0.1285719981424055</v>
      </c>
      <c r="I23" s="579">
        <v>4.4996408896078637E-2</v>
      </c>
      <c r="J23" s="7">
        <v>13.655027650819074</v>
      </c>
      <c r="K23" s="7">
        <v>0.45730983931943903</v>
      </c>
      <c r="L23" s="7">
        <v>0.15357276167717918</v>
      </c>
      <c r="M23" s="576">
        <v>0.22045263794741901</v>
      </c>
      <c r="N23" s="440">
        <f t="shared" si="1"/>
        <v>-6.5303570197130512E-3</v>
      </c>
      <c r="O23" s="440">
        <f t="shared" si="2"/>
        <v>4.2645562804915521E-5</v>
      </c>
      <c r="P23" s="465">
        <f t="shared" si="3"/>
        <v>13.655027650819074</v>
      </c>
      <c r="Q23" s="440">
        <f t="shared" si="4"/>
        <v>13.060322105514999</v>
      </c>
      <c r="R23" s="440">
        <f t="shared" si="5"/>
        <v>14.249733196123149</v>
      </c>
      <c r="S23" s="466">
        <f t="shared" si="6"/>
        <v>-5543.9947050289484</v>
      </c>
      <c r="T23" s="440">
        <f t="shared" si="7"/>
        <v>30735877.289389018</v>
      </c>
      <c r="U23" s="466">
        <f t="shared" si="8"/>
        <v>851732.38198546181</v>
      </c>
      <c r="V23" s="467">
        <f t="shared" si="9"/>
        <v>469922.04842453735</v>
      </c>
      <c r="W23" s="467">
        <f t="shared" si="10"/>
        <v>1543762.5303063961</v>
      </c>
      <c r="X23" s="468">
        <f t="shared" si="11"/>
        <v>6.5517262921165912E-3</v>
      </c>
      <c r="Y23" s="468">
        <f t="shared" si="12"/>
        <v>6.5517262921165912E-3</v>
      </c>
      <c r="Z23" s="517">
        <f t="shared" si="13"/>
        <v>9.4293031174291908</v>
      </c>
      <c r="AA23" s="471">
        <f t="shared" si="14"/>
        <v>13.654806915404865</v>
      </c>
      <c r="AB23" s="473">
        <f t="shared" si="15"/>
        <v>13.648497293799361</v>
      </c>
      <c r="AC23" s="801">
        <f t="shared" si="16"/>
        <v>77</v>
      </c>
      <c r="AD23" s="435">
        <f t="shared" si="17"/>
        <v>13.06010137010079</v>
      </c>
      <c r="AE23" s="441">
        <f t="shared" si="18"/>
        <v>14.249512460708941</v>
      </c>
    </row>
    <row r="24" spans="1:31">
      <c r="A24" s="134">
        <v>1973</v>
      </c>
      <c r="B24" s="440">
        <f t="shared" si="0"/>
        <v>1978</v>
      </c>
      <c r="C24" s="458">
        <f>VLOOKUP($A24,'Brd Tbl'!$A$8:$AX$64,12)</f>
        <v>10.217352589747847</v>
      </c>
      <c r="D24" s="458">
        <f>VLOOKUP($A24,'Brd Tbl'!$A$8:$AX$64,23)</f>
        <v>12.602715502852924</v>
      </c>
      <c r="E24" s="7">
        <v>47</v>
      </c>
      <c r="F24" s="7">
        <v>45</v>
      </c>
      <c r="G24" s="576">
        <v>12.511370727369911</v>
      </c>
      <c r="H24" s="576">
        <v>0.12439550628460465</v>
      </c>
      <c r="I24" s="579">
        <v>4.136885876301407E-2</v>
      </c>
      <c r="J24" s="7">
        <v>13.782363475659912</v>
      </c>
      <c r="K24" s="7">
        <v>0.422960621196661</v>
      </c>
      <c r="L24" s="7">
        <v>0.16731360560560829</v>
      </c>
      <c r="M24" s="576">
        <v>0.19084568700731627</v>
      </c>
      <c r="N24" s="440">
        <f t="shared" si="1"/>
        <v>-1.179647972806988</v>
      </c>
      <c r="O24" s="440">
        <f t="shared" si="2"/>
        <v>1.3915693397476363</v>
      </c>
      <c r="P24" s="465">
        <f t="shared" si="3"/>
        <v>13.782363475659912</v>
      </c>
      <c r="Q24" s="440">
        <f t="shared" si="4"/>
        <v>13.187657930355837</v>
      </c>
      <c r="R24" s="440">
        <f t="shared" si="5"/>
        <v>14.377069020963987</v>
      </c>
      <c r="S24" s="466">
        <f t="shared" si="6"/>
        <v>-670031.29692951054</v>
      </c>
      <c r="T24" s="440">
        <f t="shared" si="7"/>
        <v>448941938865.04193</v>
      </c>
      <c r="U24" s="466">
        <f t="shared" si="8"/>
        <v>967396.2622530947</v>
      </c>
      <c r="V24" s="467">
        <f t="shared" si="9"/>
        <v>533736.70276161318</v>
      </c>
      <c r="W24" s="467">
        <f t="shared" si="10"/>
        <v>1753402.9857400428</v>
      </c>
      <c r="X24" s="468">
        <f t="shared" si="11"/>
        <v>2.2532287762965</v>
      </c>
      <c r="Y24" s="468">
        <f t="shared" si="12"/>
        <v>2.2532287762965</v>
      </c>
      <c r="Z24" s="517">
        <f t="shared" si="13"/>
        <v>10.217352589747847</v>
      </c>
      <c r="AA24" s="471">
        <f t="shared" si="14"/>
        <v>13.756185290397021</v>
      </c>
      <c r="AB24" s="473">
        <f t="shared" si="15"/>
        <v>12.602715502852924</v>
      </c>
      <c r="AC24" s="801">
        <f t="shared" si="16"/>
        <v>78</v>
      </c>
      <c r="AD24" s="435">
        <f t="shared" si="17"/>
        <v>13.161479745092945</v>
      </c>
      <c r="AE24" s="441">
        <f t="shared" si="18"/>
        <v>14.350890835701096</v>
      </c>
    </row>
    <row r="25" spans="1:31">
      <c r="A25" s="134">
        <v>1974</v>
      </c>
      <c r="B25" s="440">
        <f t="shared" si="0"/>
        <v>1979</v>
      </c>
      <c r="C25" s="458">
        <f>VLOOKUP($A25,'Brd Tbl'!$A$8:$AX$64,12)</f>
        <v>8.8781335483064883</v>
      </c>
      <c r="D25" s="458">
        <f>VLOOKUP($A25,'Brd Tbl'!$A$8:$AX$64,23)</f>
        <v>13.000725318656022</v>
      </c>
      <c r="E25" s="7">
        <v>47</v>
      </c>
      <c r="F25" s="7">
        <v>45</v>
      </c>
      <c r="G25" s="576">
        <v>12.561068574473063</v>
      </c>
      <c r="H25" s="576">
        <v>0.11859068142872049</v>
      </c>
      <c r="I25" s="579">
        <v>4.4483950511123742E-2</v>
      </c>
      <c r="J25" s="7">
        <v>13.613932481781914</v>
      </c>
      <c r="K25" s="7">
        <v>0.44853802440465335</v>
      </c>
      <c r="L25" s="7">
        <v>0.1363946244733224</v>
      </c>
      <c r="M25" s="576">
        <v>0.21245305540814033</v>
      </c>
      <c r="N25" s="440">
        <f t="shared" si="1"/>
        <v>-0.61320716312589241</v>
      </c>
      <c r="O25" s="440">
        <f t="shared" si="2"/>
        <v>0.37602302490890482</v>
      </c>
      <c r="P25" s="465">
        <f t="shared" si="3"/>
        <v>13.613932481781914</v>
      </c>
      <c r="Q25" s="440">
        <f t="shared" si="4"/>
        <v>13.019226936477839</v>
      </c>
      <c r="R25" s="440">
        <f t="shared" si="5"/>
        <v>14.208638027085989</v>
      </c>
      <c r="S25" s="466">
        <f t="shared" si="6"/>
        <v>-374705.35339537787</v>
      </c>
      <c r="T25" s="440">
        <f t="shared" si="7"/>
        <v>140404101863.15503</v>
      </c>
      <c r="U25" s="466">
        <f t="shared" si="8"/>
        <v>817439.75249333831</v>
      </c>
      <c r="V25" s="467">
        <f t="shared" si="9"/>
        <v>451001.94741905812</v>
      </c>
      <c r="W25" s="467">
        <f t="shared" si="10"/>
        <v>1481607.2364660783</v>
      </c>
      <c r="X25" s="468">
        <f t="shared" si="11"/>
        <v>0.84634343786887378</v>
      </c>
      <c r="Y25" s="468">
        <f t="shared" si="12"/>
        <v>0.84634343786887378</v>
      </c>
      <c r="Z25" s="517">
        <f t="shared" si="13"/>
        <v>8.8781335483064883</v>
      </c>
      <c r="AA25" s="471">
        <f t="shared" si="14"/>
        <v>13.583901880599905</v>
      </c>
      <c r="AB25" s="473">
        <f t="shared" si="15"/>
        <v>13.000725318656022</v>
      </c>
      <c r="AC25" s="801">
        <f t="shared" si="16"/>
        <v>79</v>
      </c>
      <c r="AD25" s="435">
        <f t="shared" si="17"/>
        <v>12.98919633529583</v>
      </c>
      <c r="AE25" s="441">
        <f t="shared" si="18"/>
        <v>14.17860742590398</v>
      </c>
    </row>
    <row r="26" spans="1:31">
      <c r="A26" s="134">
        <v>1975</v>
      </c>
      <c r="B26" s="440">
        <f t="shared" si="0"/>
        <v>1980</v>
      </c>
      <c r="C26" s="458">
        <f>VLOOKUP($A26,'Brd Tbl'!$A$8:$AX$64,12)</f>
        <v>9.2582345420544776</v>
      </c>
      <c r="D26" s="458">
        <f>VLOOKUP($A26,'Brd Tbl'!$A$8:$AX$64,23)</f>
        <v>12.925948486164664</v>
      </c>
      <c r="E26" s="7">
        <v>47</v>
      </c>
      <c r="F26" s="7">
        <v>45</v>
      </c>
      <c r="G26" s="576">
        <v>12.556437760978785</v>
      </c>
      <c r="H26" s="576">
        <v>0.11926666668285903</v>
      </c>
      <c r="I26" s="579">
        <v>4.3830211924591814E-2</v>
      </c>
      <c r="J26" s="7">
        <v>13.660636534177728</v>
      </c>
      <c r="K26" s="7">
        <v>0.44451419086516186</v>
      </c>
      <c r="L26" s="7">
        <v>0.14129380043581943</v>
      </c>
      <c r="M26" s="576">
        <v>0.20896915108932454</v>
      </c>
      <c r="N26" s="440">
        <f t="shared" si="1"/>
        <v>-0.73468804801306398</v>
      </c>
      <c r="O26" s="440">
        <f t="shared" si="2"/>
        <v>0.5397665278932462</v>
      </c>
      <c r="P26" s="465">
        <f t="shared" si="3"/>
        <v>13.660636534177728</v>
      </c>
      <c r="Q26" s="440">
        <f t="shared" si="4"/>
        <v>13.065930988873653</v>
      </c>
      <c r="R26" s="440">
        <f t="shared" si="5"/>
        <v>14.255342079481803</v>
      </c>
      <c r="S26" s="466">
        <f t="shared" si="6"/>
        <v>-445687.44234987517</v>
      </c>
      <c r="T26" s="440">
        <f t="shared" si="7"/>
        <v>198637296268.37329</v>
      </c>
      <c r="U26" s="466">
        <f t="shared" si="8"/>
        <v>856523.07222075993</v>
      </c>
      <c r="V26" s="467">
        <f t="shared" si="9"/>
        <v>472565.19199445879</v>
      </c>
      <c r="W26" s="467">
        <f t="shared" si="10"/>
        <v>1552445.6427909983</v>
      </c>
      <c r="X26" s="468">
        <f t="shared" si="11"/>
        <v>1.0848315237165371</v>
      </c>
      <c r="Y26" s="468">
        <f t="shared" si="12"/>
        <v>1.0848315237165371</v>
      </c>
      <c r="Z26" s="517">
        <f t="shared" si="13"/>
        <v>9.2582345420544776</v>
      </c>
      <c r="AA26" s="471">
        <f t="shared" si="14"/>
        <v>13.632799852659574</v>
      </c>
      <c r="AB26" s="473">
        <f t="shared" si="15"/>
        <v>12.925948486164664</v>
      </c>
      <c r="AC26" s="801">
        <f t="shared" si="16"/>
        <v>80</v>
      </c>
      <c r="AD26" s="435">
        <f t="shared" si="17"/>
        <v>13.038094307355498</v>
      </c>
      <c r="AE26" s="441">
        <f t="shared" si="18"/>
        <v>14.227505397963649</v>
      </c>
    </row>
    <row r="27" spans="1:31">
      <c r="A27" s="134">
        <v>1976</v>
      </c>
      <c r="B27" s="440">
        <f t="shared" si="0"/>
        <v>1981</v>
      </c>
      <c r="C27" s="458">
        <f>VLOOKUP($A27,'Brd Tbl'!$A$8:$AX$64,12)</f>
        <v>8.586839002480172</v>
      </c>
      <c r="D27" s="458">
        <f>VLOOKUP($A27,'Brd Tbl'!$A$8:$AX$64,23)</f>
        <v>13.706895781055929</v>
      </c>
      <c r="E27" s="7">
        <v>47</v>
      </c>
      <c r="F27" s="7">
        <v>45</v>
      </c>
      <c r="G27" s="576">
        <v>12.403561997064399</v>
      </c>
      <c r="H27" s="576">
        <v>0.13191633858506124</v>
      </c>
      <c r="I27" s="579">
        <v>4.553675779258691E-2</v>
      </c>
      <c r="J27" s="7">
        <v>13.536306358290982</v>
      </c>
      <c r="K27" s="7">
        <v>0.45664525923063071</v>
      </c>
      <c r="L27" s="7">
        <v>0.15717939011517107</v>
      </c>
      <c r="M27" s="576">
        <v>0.21983438038153666</v>
      </c>
      <c r="N27" s="440">
        <f t="shared" si="1"/>
        <v>0.17058942276494626</v>
      </c>
      <c r="O27" s="440">
        <f t="shared" si="2"/>
        <v>2.9100751159277568E-2</v>
      </c>
      <c r="P27" s="465">
        <f t="shared" si="3"/>
        <v>13.536306358290982</v>
      </c>
      <c r="Q27" s="440">
        <f t="shared" si="4"/>
        <v>12.941600812986907</v>
      </c>
      <c r="R27" s="440">
        <f t="shared" si="5"/>
        <v>14.131011903595057</v>
      </c>
      <c r="S27" s="466">
        <f t="shared" si="6"/>
        <v>140690.49152074615</v>
      </c>
      <c r="T27" s="440">
        <f t="shared" si="7"/>
        <v>19793814404.349144</v>
      </c>
      <c r="U27" s="466">
        <f t="shared" si="8"/>
        <v>756385.43378581898</v>
      </c>
      <c r="V27" s="467">
        <f t="shared" si="9"/>
        <v>417316.75343204383</v>
      </c>
      <c r="W27" s="467">
        <f t="shared" si="10"/>
        <v>1370946.4567099528</v>
      </c>
      <c r="X27" s="468">
        <f t="shared" si="11"/>
        <v>-0.1568323121286159</v>
      </c>
      <c r="Y27" s="468">
        <f t="shared" si="12"/>
        <v>0.1568323121286159</v>
      </c>
      <c r="Z27" s="517">
        <f t="shared" si="13"/>
        <v>8.586839002480172</v>
      </c>
      <c r="AA27" s="471">
        <f t="shared" si="14"/>
        <v>13.546428385930767</v>
      </c>
      <c r="AB27" s="473">
        <f t="shared" si="15"/>
        <v>13.706895781055929</v>
      </c>
      <c r="AC27" s="801">
        <f t="shared" si="16"/>
        <v>81</v>
      </c>
      <c r="AD27" s="435">
        <f t="shared" si="17"/>
        <v>12.951722840626692</v>
      </c>
      <c r="AE27" s="441">
        <f t="shared" si="18"/>
        <v>14.141133931234842</v>
      </c>
    </row>
    <row r="28" spans="1:31">
      <c r="A28" s="134">
        <v>1977</v>
      </c>
      <c r="B28" s="440">
        <f t="shared" si="0"/>
        <v>1982</v>
      </c>
      <c r="C28" s="458">
        <f>VLOOKUP($A28,'Brd Tbl'!$A$8:$AX$64,12)</f>
        <v>12.238417612427757</v>
      </c>
      <c r="D28" s="458">
        <f>VLOOKUP($A28,'Brd Tbl'!$A$8:$AX$64,23)</f>
        <v>14.11696530569891</v>
      </c>
      <c r="E28" s="7">
        <v>47</v>
      </c>
      <c r="F28" s="7">
        <v>45</v>
      </c>
      <c r="G28" s="576">
        <v>12.457164272769404</v>
      </c>
      <c r="H28" s="576">
        <v>0.12698442901934459</v>
      </c>
      <c r="I28" s="579">
        <v>4.5273133165522998E-2</v>
      </c>
      <c r="J28" s="7">
        <v>14.011252745383834</v>
      </c>
      <c r="K28" s="7">
        <v>0.45705191596001526</v>
      </c>
      <c r="L28" s="7">
        <v>0.14881050189996073</v>
      </c>
      <c r="M28" s="576">
        <v>0.22021577624857722</v>
      </c>
      <c r="N28" s="440">
        <f t="shared" si="1"/>
        <v>0.10571256031507659</v>
      </c>
      <c r="O28" s="440">
        <f t="shared" si="2"/>
        <v>1.1175145408368706E-2</v>
      </c>
      <c r="P28" s="465">
        <f t="shared" si="3"/>
        <v>14.011252745383834</v>
      </c>
      <c r="Q28" s="440">
        <f t="shared" si="4"/>
        <v>13.416547200079759</v>
      </c>
      <c r="R28" s="440">
        <f t="shared" si="5"/>
        <v>14.605958290687909</v>
      </c>
      <c r="S28" s="466">
        <f t="shared" si="6"/>
        <v>135610.63083843864</v>
      </c>
      <c r="T28" s="440">
        <f t="shared" si="7"/>
        <v>18390243196.399284</v>
      </c>
      <c r="U28" s="466">
        <f t="shared" si="8"/>
        <v>1216213.309819848</v>
      </c>
      <c r="V28" s="467">
        <f t="shared" si="9"/>
        <v>671015.28832267039</v>
      </c>
      <c r="W28" s="467">
        <f t="shared" si="10"/>
        <v>2204383.1798235578</v>
      </c>
      <c r="X28" s="468">
        <f t="shared" si="11"/>
        <v>-0.10031678442712105</v>
      </c>
      <c r="Y28" s="468">
        <f t="shared" si="12"/>
        <v>0.10031678442712105</v>
      </c>
      <c r="Z28" s="517">
        <f t="shared" si="13"/>
        <v>12.238417612427757</v>
      </c>
      <c r="AA28" s="471">
        <f t="shared" si="14"/>
        <v>14.01618456068385</v>
      </c>
      <c r="AB28" s="473">
        <f t="shared" si="15"/>
        <v>14.11696530569891</v>
      </c>
      <c r="AC28" s="801">
        <f t="shared" si="16"/>
        <v>82</v>
      </c>
      <c r="AD28" s="435">
        <f t="shared" si="17"/>
        <v>13.421479015379775</v>
      </c>
      <c r="AE28" s="441">
        <f t="shared" si="18"/>
        <v>14.610890105987925</v>
      </c>
    </row>
    <row r="29" spans="1:31">
      <c r="A29" s="134">
        <v>1978</v>
      </c>
      <c r="B29" s="440">
        <f t="shared" si="0"/>
        <v>1983</v>
      </c>
      <c r="C29" s="458">
        <f>VLOOKUP($A29,'Brd Tbl'!$A$8:$AX$64,12)</f>
        <v>10.808748399681072</v>
      </c>
      <c r="D29" s="458">
        <f>VLOOKUP($A29,'Brd Tbl'!$A$8:$AX$64,23)</f>
        <v>13.613528697493491</v>
      </c>
      <c r="E29" s="7">
        <v>47</v>
      </c>
      <c r="F29" s="7">
        <v>45</v>
      </c>
      <c r="G29" s="576">
        <v>12.441585065860583</v>
      </c>
      <c r="H29" s="576">
        <v>0.1291023012093368</v>
      </c>
      <c r="I29" s="579">
        <v>4.4591299148713598E-2</v>
      </c>
      <c r="J29" s="7">
        <v>13.837019357452146</v>
      </c>
      <c r="K29" s="7">
        <v>0.45612153950838175</v>
      </c>
      <c r="L29" s="7">
        <v>0.15702533377872627</v>
      </c>
      <c r="M29" s="576">
        <v>0.21939082029793069</v>
      </c>
      <c r="N29" s="440">
        <f t="shared" si="1"/>
        <v>-0.2234906599586548</v>
      </c>
      <c r="O29" s="440">
        <f t="shared" si="2"/>
        <v>4.9948075088755067E-2</v>
      </c>
      <c r="P29" s="465">
        <f t="shared" si="3"/>
        <v>13.837019357452146</v>
      </c>
      <c r="Q29" s="440">
        <f t="shared" si="4"/>
        <v>13.242313812148071</v>
      </c>
      <c r="R29" s="440">
        <f t="shared" si="5"/>
        <v>14.431724902756221</v>
      </c>
      <c r="S29" s="466">
        <f t="shared" si="6"/>
        <v>-204632.03130825039</v>
      </c>
      <c r="T29" s="440">
        <f t="shared" si="7"/>
        <v>41874268237.340767</v>
      </c>
      <c r="U29" s="466">
        <f t="shared" si="8"/>
        <v>1021741.7811022358</v>
      </c>
      <c r="V29" s="467">
        <f t="shared" si="9"/>
        <v>563720.4841469716</v>
      </c>
      <c r="W29" s="467">
        <f t="shared" si="10"/>
        <v>1851904.0847516758</v>
      </c>
      <c r="X29" s="468">
        <f t="shared" si="11"/>
        <v>0.25043396111702676</v>
      </c>
      <c r="Y29" s="468">
        <f t="shared" si="12"/>
        <v>0.25043396111702676</v>
      </c>
      <c r="Z29" s="517">
        <f t="shared" si="13"/>
        <v>10.808748399681072</v>
      </c>
      <c r="AA29" s="471">
        <f t="shared" si="14"/>
        <v>13.832265217221661</v>
      </c>
      <c r="AB29" s="473">
        <f t="shared" si="15"/>
        <v>13.613528697493491</v>
      </c>
      <c r="AC29" s="801">
        <f t="shared" si="16"/>
        <v>83</v>
      </c>
      <c r="AD29" s="435">
        <f t="shared" si="17"/>
        <v>13.237559671917586</v>
      </c>
      <c r="AE29" s="441">
        <f t="shared" si="18"/>
        <v>14.426970762525736</v>
      </c>
    </row>
    <row r="30" spans="1:31">
      <c r="A30" s="134">
        <v>1979</v>
      </c>
      <c r="B30" s="440">
        <f t="shared" si="0"/>
        <v>1984</v>
      </c>
      <c r="C30" s="458">
        <f>VLOOKUP($A30,'Brd Tbl'!$A$8:$AX$64,12)</f>
        <v>11.306855279311714</v>
      </c>
      <c r="D30" s="458">
        <f>VLOOKUP($A30,'Brd Tbl'!$A$8:$AX$64,23)</f>
        <v>14.169276530236562</v>
      </c>
      <c r="E30" s="7">
        <v>47</v>
      </c>
      <c r="F30" s="7">
        <v>45</v>
      </c>
      <c r="G30" s="576">
        <v>12.45614009438321</v>
      </c>
      <c r="H30" s="576">
        <v>0.12673812445136132</v>
      </c>
      <c r="I30" s="579">
        <v>4.462624760635335E-2</v>
      </c>
      <c r="J30" s="7">
        <v>13.889149725926149</v>
      </c>
      <c r="K30" s="7">
        <v>0.45544943622705203</v>
      </c>
      <c r="L30" s="7">
        <v>0.1519921531591831</v>
      </c>
      <c r="M30" s="576">
        <v>0.21878394899145392</v>
      </c>
      <c r="N30" s="440">
        <f t="shared" si="1"/>
        <v>0.28012680431041304</v>
      </c>
      <c r="O30" s="440">
        <f t="shared" si="2"/>
        <v>7.8471026493164439E-2</v>
      </c>
      <c r="P30" s="465">
        <f t="shared" si="3"/>
        <v>13.889149725926149</v>
      </c>
      <c r="Q30" s="440">
        <f t="shared" si="4"/>
        <v>13.294444180622074</v>
      </c>
      <c r="R30" s="440">
        <f t="shared" si="5"/>
        <v>14.483855271230224</v>
      </c>
      <c r="S30" s="466">
        <f t="shared" si="6"/>
        <v>348003.46408071066</v>
      </c>
      <c r="T30" s="440">
        <f t="shared" si="7"/>
        <v>121106411012.17447</v>
      </c>
      <c r="U30" s="466">
        <f t="shared" si="8"/>
        <v>1076418.3291934889</v>
      </c>
      <c r="V30" s="467">
        <f t="shared" si="9"/>
        <v>593886.90264092409</v>
      </c>
      <c r="W30" s="467">
        <f t="shared" si="10"/>
        <v>1951005.1733271868</v>
      </c>
      <c r="X30" s="468">
        <f t="shared" si="11"/>
        <v>-0.24431208910443875</v>
      </c>
      <c r="Y30" s="468">
        <f t="shared" si="12"/>
        <v>0.24431208910443875</v>
      </c>
      <c r="Z30" s="517">
        <f t="shared" si="13"/>
        <v>11.306855279311714</v>
      </c>
      <c r="AA30" s="471">
        <f t="shared" si="14"/>
        <v>13.896344019128337</v>
      </c>
      <c r="AB30" s="473">
        <f t="shared" si="15"/>
        <v>14.169276530236562</v>
      </c>
      <c r="AC30" s="801">
        <f t="shared" si="16"/>
        <v>84</v>
      </c>
      <c r="AD30" s="435">
        <f t="shared" si="17"/>
        <v>13.301638473824262</v>
      </c>
      <c r="AE30" s="441">
        <f t="shared" si="18"/>
        <v>14.491049564432412</v>
      </c>
    </row>
    <row r="31" spans="1:31">
      <c r="A31" s="134">
        <v>1980</v>
      </c>
      <c r="B31" s="440">
        <f t="shared" si="0"/>
        <v>1985</v>
      </c>
      <c r="C31" s="458">
        <f>VLOOKUP($A31,'Brd Tbl'!$A$8:$AX$64,12)</f>
        <v>9.7455515916903028</v>
      </c>
      <c r="D31" s="458">
        <f>VLOOKUP($A31,'Brd Tbl'!$A$8:$AX$64,23)</f>
        <v>13.858768146655043</v>
      </c>
      <c r="E31" s="7">
        <v>47</v>
      </c>
      <c r="F31" s="7">
        <v>45</v>
      </c>
      <c r="G31" s="576">
        <v>12.423851135918392</v>
      </c>
      <c r="H31" s="576">
        <v>0.13000648449937791</v>
      </c>
      <c r="I31" s="579">
        <v>4.4790101064266855E-2</v>
      </c>
      <c r="J31" s="7">
        <v>13.690836037861365</v>
      </c>
      <c r="K31" s="7">
        <v>0.45664415206373993</v>
      </c>
      <c r="L31" s="7">
        <v>0.15769649440285941</v>
      </c>
      <c r="M31" s="576">
        <v>0.21985351991335333</v>
      </c>
      <c r="N31" s="440">
        <f t="shared" si="1"/>
        <v>0.16793210879367848</v>
      </c>
      <c r="O31" s="440">
        <f t="shared" si="2"/>
        <v>2.8201193163891865E-2</v>
      </c>
      <c r="P31" s="465">
        <f t="shared" si="3"/>
        <v>13.690836037861365</v>
      </c>
      <c r="Q31" s="440">
        <f t="shared" si="4"/>
        <v>13.09613049255729</v>
      </c>
      <c r="R31" s="440">
        <f t="shared" si="5"/>
        <v>14.28554158316544</v>
      </c>
      <c r="S31" s="466">
        <f t="shared" si="6"/>
        <v>161422.65174750169</v>
      </c>
      <c r="T31" s="440">
        <f t="shared" si="7"/>
        <v>26057272497.19521</v>
      </c>
      <c r="U31" s="466">
        <f t="shared" si="8"/>
        <v>882784.18433531257</v>
      </c>
      <c r="V31" s="467">
        <f t="shared" si="9"/>
        <v>487054.10407504661</v>
      </c>
      <c r="W31" s="467">
        <f t="shared" si="10"/>
        <v>1600043.8341291244</v>
      </c>
      <c r="X31" s="468">
        <f t="shared" si="11"/>
        <v>-0.15458877127548276</v>
      </c>
      <c r="Y31" s="468">
        <f t="shared" si="12"/>
        <v>0.15458877127548276</v>
      </c>
      <c r="Z31" s="517">
        <f t="shared" si="13"/>
        <v>9.7455515916903028</v>
      </c>
      <c r="AA31" s="471">
        <f t="shared" si="14"/>
        <v>13.695490600300953</v>
      </c>
      <c r="AB31" s="473">
        <f t="shared" si="15"/>
        <v>13.858768146655043</v>
      </c>
      <c r="AC31" s="801">
        <f t="shared" si="16"/>
        <v>85</v>
      </c>
      <c r="AD31" s="435">
        <f t="shared" si="17"/>
        <v>13.100785054996878</v>
      </c>
      <c r="AE31" s="441">
        <f t="shared" si="18"/>
        <v>14.290196145605028</v>
      </c>
    </row>
    <row r="32" spans="1:31">
      <c r="A32" s="134">
        <v>1981</v>
      </c>
      <c r="B32" s="440">
        <f t="shared" si="0"/>
        <v>1986</v>
      </c>
      <c r="C32" s="458">
        <f>VLOOKUP($A32,'Brd Tbl'!$A$8:$AX$64,12)</f>
        <v>11.677699198282076</v>
      </c>
      <c r="D32" s="458">
        <f>VLOOKUP($A32,'Brd Tbl'!$A$8:$AX$64,23)</f>
        <v>13.500399551096667</v>
      </c>
      <c r="E32" s="7">
        <v>47</v>
      </c>
      <c r="F32" s="7">
        <v>45</v>
      </c>
      <c r="G32" s="576">
        <v>12.40107409721265</v>
      </c>
      <c r="H32" s="576">
        <v>0.13338792274708566</v>
      </c>
      <c r="I32" s="579">
        <v>4.4467312824330918E-2</v>
      </c>
      <c r="J32" s="7">
        <v>13.958738135736803</v>
      </c>
      <c r="K32" s="7">
        <v>0.45234332055255827</v>
      </c>
      <c r="L32" s="7">
        <v>0.16663748276530832</v>
      </c>
      <c r="M32" s="576">
        <v>0.21598388023237389</v>
      </c>
      <c r="N32" s="440">
        <f t="shared" si="1"/>
        <v>-0.45833858464013666</v>
      </c>
      <c r="O32" s="440">
        <f t="shared" si="2"/>
        <v>0.21007425816992373</v>
      </c>
      <c r="P32" s="465">
        <f t="shared" si="3"/>
        <v>13.958738135736803</v>
      </c>
      <c r="Q32" s="440">
        <f t="shared" si="4"/>
        <v>13.364032590432728</v>
      </c>
      <c r="R32" s="440">
        <f t="shared" si="5"/>
        <v>14.553443681040878</v>
      </c>
      <c r="S32" s="466">
        <f t="shared" si="6"/>
        <v>-424284.52761505777</v>
      </c>
      <c r="T32" s="440">
        <f t="shared" si="7"/>
        <v>180017360373.53271</v>
      </c>
      <c r="U32" s="466">
        <f t="shared" si="8"/>
        <v>1153992.3948034216</v>
      </c>
      <c r="V32" s="467">
        <f t="shared" si="9"/>
        <v>636686.45398716046</v>
      </c>
      <c r="W32" s="467">
        <f t="shared" si="10"/>
        <v>2091607.9475612517</v>
      </c>
      <c r="X32" s="468">
        <f t="shared" si="11"/>
        <v>0.5814443651948934</v>
      </c>
      <c r="Y32" s="468">
        <f t="shared" si="12"/>
        <v>0.5814443651948934</v>
      </c>
      <c r="Z32" s="517">
        <f t="shared" si="13"/>
        <v>11.677699198282076</v>
      </c>
      <c r="AA32" s="471">
        <f t="shared" si="14"/>
        <v>13.944051117732592</v>
      </c>
      <c r="AB32" s="473">
        <f t="shared" si="15"/>
        <v>13.500399551096667</v>
      </c>
      <c r="AC32" s="801">
        <f t="shared" si="16"/>
        <v>86</v>
      </c>
      <c r="AD32" s="435">
        <f t="shared" si="17"/>
        <v>13.349345572428517</v>
      </c>
      <c r="AE32" s="441">
        <f t="shared" si="18"/>
        <v>14.538756663036667</v>
      </c>
    </row>
    <row r="33" spans="1:35">
      <c r="A33" s="134">
        <v>1982</v>
      </c>
      <c r="B33" s="440">
        <f t="shared" si="0"/>
        <v>1987</v>
      </c>
      <c r="C33" s="458">
        <f>VLOOKUP($A33,'Brd Tbl'!$A$8:$AX$64,12)</f>
        <v>11.778844272462115</v>
      </c>
      <c r="D33" s="458">
        <f>VLOOKUP($A33,'Brd Tbl'!$A$8:$AX$64,23)</f>
        <v>14.123812821422923</v>
      </c>
      <c r="E33" s="7">
        <v>47</v>
      </c>
      <c r="F33" s="7">
        <v>45</v>
      </c>
      <c r="G33" s="576">
        <v>12.45887799419674</v>
      </c>
      <c r="H33" s="576">
        <v>0.12669102138542165</v>
      </c>
      <c r="I33" s="579">
        <v>4.4937714257922617E-2</v>
      </c>
      <c r="J33" s="7">
        <v>13.951151805814789</v>
      </c>
      <c r="K33" s="7">
        <v>0.45661077525250926</v>
      </c>
      <c r="L33" s="7">
        <v>0.1501130253188678</v>
      </c>
      <c r="M33" s="576">
        <v>0.21981925112299286</v>
      </c>
      <c r="N33" s="440">
        <f t="shared" si="1"/>
        <v>0.17266101560813496</v>
      </c>
      <c r="O33" s="440">
        <f t="shared" si="2"/>
        <v>2.9811826310832623E-2</v>
      </c>
      <c r="P33" s="465">
        <f t="shared" si="3"/>
        <v>13.951151805814789</v>
      </c>
      <c r="Q33" s="440">
        <f t="shared" si="4"/>
        <v>13.356446260510713</v>
      </c>
      <c r="R33" s="440">
        <f t="shared" si="5"/>
        <v>14.545857351118864</v>
      </c>
      <c r="S33" s="466">
        <f t="shared" si="6"/>
        <v>215841.38981901389</v>
      </c>
      <c r="T33" s="440">
        <f t="shared" si="7"/>
        <v>46587505559.00351</v>
      </c>
      <c r="U33" s="466">
        <f t="shared" si="8"/>
        <v>1145270.9514705006</v>
      </c>
      <c r="V33" s="467">
        <f t="shared" si="9"/>
        <v>631874.6156645749</v>
      </c>
      <c r="W33" s="467">
        <f t="shared" si="10"/>
        <v>2075800.3562188062</v>
      </c>
      <c r="X33" s="468">
        <f t="shared" si="11"/>
        <v>-0.15857720429933528</v>
      </c>
      <c r="Y33" s="468">
        <f t="shared" si="12"/>
        <v>0.15857720429933528</v>
      </c>
      <c r="Z33" s="517">
        <f t="shared" si="13"/>
        <v>11.778844272462115</v>
      </c>
      <c r="AA33" s="471">
        <f t="shared" si="14"/>
        <v>13.957062893793635</v>
      </c>
      <c r="AB33" s="473">
        <f t="shared" si="15"/>
        <v>14.123812821422923</v>
      </c>
      <c r="AC33" s="801">
        <f t="shared" si="16"/>
        <v>87</v>
      </c>
      <c r="AD33" s="435">
        <f t="shared" si="17"/>
        <v>13.36235734848956</v>
      </c>
      <c r="AE33" s="441">
        <f t="shared" si="18"/>
        <v>14.55176843909771</v>
      </c>
    </row>
    <row r="34" spans="1:35">
      <c r="A34" s="134">
        <v>1983</v>
      </c>
      <c r="B34" s="440">
        <f t="shared" si="0"/>
        <v>1988</v>
      </c>
      <c r="C34" s="458">
        <f>VLOOKUP($A34,'Brd Tbl'!$A$8:$AX$64,12)</f>
        <v>11.710656075118306</v>
      </c>
      <c r="D34" s="458">
        <f>VLOOKUP($A34,'Brd Tbl'!$A$8:$AX$64,23)</f>
        <v>13.193528357920927</v>
      </c>
      <c r="E34" s="7">
        <v>47</v>
      </c>
      <c r="F34" s="7">
        <v>45</v>
      </c>
      <c r="G34" s="576">
        <v>12.369878694927491</v>
      </c>
      <c r="H34" s="576">
        <v>0.13696557140000068</v>
      </c>
      <c r="I34" s="579">
        <v>4.3541817921509685E-2</v>
      </c>
      <c r="J34" s="7">
        <v>13.97383539572496</v>
      </c>
      <c r="K34" s="7">
        <v>0.44277026235046318</v>
      </c>
      <c r="L34" s="7">
        <v>0.18025114001528322</v>
      </c>
      <c r="M34" s="576">
        <v>0.20749867140095726</v>
      </c>
      <c r="N34" s="440">
        <f t="shared" si="1"/>
        <v>-0.78030703780403243</v>
      </c>
      <c r="O34" s="440">
        <f t="shared" si="2"/>
        <v>0.6088790732465037</v>
      </c>
      <c r="P34" s="465">
        <f t="shared" si="3"/>
        <v>13.97383539572496</v>
      </c>
      <c r="Q34" s="440">
        <f t="shared" si="4"/>
        <v>13.379129850420885</v>
      </c>
      <c r="R34" s="440">
        <f t="shared" si="5"/>
        <v>14.568540941029035</v>
      </c>
      <c r="S34" s="466">
        <f t="shared" si="6"/>
        <v>-634667.51527637313</v>
      </c>
      <c r="T34" s="440">
        <f t="shared" si="7"/>
        <v>402802854947.08533</v>
      </c>
      <c r="U34" s="466">
        <f t="shared" si="8"/>
        <v>1171546.6955089173</v>
      </c>
      <c r="V34" s="467">
        <f t="shared" si="9"/>
        <v>646371.60054335615</v>
      </c>
      <c r="W34" s="467">
        <f t="shared" si="10"/>
        <v>2123425.0678774989</v>
      </c>
      <c r="X34" s="468">
        <f t="shared" si="11"/>
        <v>1.1821421627887914</v>
      </c>
      <c r="Y34" s="468">
        <f t="shared" si="12"/>
        <v>1.1821421627887914</v>
      </c>
      <c r="Z34" s="517">
        <f t="shared" si="13"/>
        <v>11.710656075118306</v>
      </c>
      <c r="AA34" s="471">
        <f t="shared" si="14"/>
        <v>13.948290844724152</v>
      </c>
      <c r="AB34" s="473">
        <f t="shared" si="15"/>
        <v>13.193528357920927</v>
      </c>
      <c r="AC34" s="801">
        <f t="shared" si="16"/>
        <v>88</v>
      </c>
      <c r="AD34" s="435">
        <f t="shared" si="17"/>
        <v>13.353585299420077</v>
      </c>
      <c r="AE34" s="441">
        <f t="shared" si="18"/>
        <v>14.542996390028227</v>
      </c>
    </row>
    <row r="35" spans="1:35">
      <c r="A35" s="134">
        <v>1984</v>
      </c>
      <c r="B35" s="440">
        <f t="shared" si="0"/>
        <v>1989</v>
      </c>
      <c r="C35" s="458">
        <f>VLOOKUP($A35,'Brd Tbl'!$A$8:$AX$64,12)</f>
        <v>11.469223264682705</v>
      </c>
      <c r="D35" s="458">
        <f>VLOOKUP($A35,'Brd Tbl'!$A$8:$AX$64,23)</f>
        <v>13.828371573710584</v>
      </c>
      <c r="E35" s="7">
        <v>47</v>
      </c>
      <c r="F35" s="7">
        <v>45</v>
      </c>
      <c r="G35" s="576">
        <v>12.435586598296645</v>
      </c>
      <c r="H35" s="576">
        <v>0.12940880980816757</v>
      </c>
      <c r="I35" s="579">
        <v>4.4845983787124406E-2</v>
      </c>
      <c r="J35" s="7">
        <v>13.919805130403379</v>
      </c>
      <c r="K35" s="7">
        <v>0.45711339242453286</v>
      </c>
      <c r="L35" s="7">
        <v>0.15614736862558171</v>
      </c>
      <c r="M35" s="576">
        <v>0.22027567093195749</v>
      </c>
      <c r="N35" s="440">
        <f t="shared" si="1"/>
        <v>-9.1433556692795293E-2</v>
      </c>
      <c r="O35" s="440">
        <f t="shared" si="2"/>
        <v>8.3600952894946103E-3</v>
      </c>
      <c r="P35" s="465">
        <f t="shared" si="3"/>
        <v>13.919805130403379</v>
      </c>
      <c r="Q35" s="440">
        <f t="shared" si="4"/>
        <v>13.325099585099304</v>
      </c>
      <c r="R35" s="440">
        <f t="shared" si="5"/>
        <v>14.514510675707454</v>
      </c>
      <c r="S35" s="466">
        <f t="shared" si="6"/>
        <v>-96983.286474553286</v>
      </c>
      <c r="T35" s="440">
        <f t="shared" si="7"/>
        <v>9405757855.4052696</v>
      </c>
      <c r="U35" s="466">
        <f t="shared" si="8"/>
        <v>1109927.3607743832</v>
      </c>
      <c r="V35" s="467">
        <f t="shared" si="9"/>
        <v>612374.67308885464</v>
      </c>
      <c r="W35" s="467">
        <f t="shared" si="10"/>
        <v>2011740.1981724924</v>
      </c>
      <c r="X35" s="468">
        <f t="shared" si="11"/>
        <v>9.5743969420612238E-2</v>
      </c>
      <c r="Y35" s="468">
        <f t="shared" si="12"/>
        <v>9.5743969420612238E-2</v>
      </c>
      <c r="Z35" s="517">
        <f t="shared" si="13"/>
        <v>11.469223264682705</v>
      </c>
      <c r="AA35" s="471">
        <f t="shared" si="14"/>
        <v>13.917231797225858</v>
      </c>
      <c r="AB35" s="473">
        <f t="shared" si="15"/>
        <v>13.828371573710584</v>
      </c>
      <c r="AC35" s="801">
        <f t="shared" si="16"/>
        <v>89</v>
      </c>
      <c r="AD35" s="435">
        <f t="shared" si="17"/>
        <v>13.322526251921783</v>
      </c>
      <c r="AE35" s="441">
        <f t="shared" si="18"/>
        <v>14.511937342529933</v>
      </c>
    </row>
    <row r="36" spans="1:35">
      <c r="A36" s="134">
        <v>1985</v>
      </c>
      <c r="B36" s="440">
        <f t="shared" si="0"/>
        <v>1990</v>
      </c>
      <c r="C36" s="458">
        <f>VLOOKUP($A36,'Brd Tbl'!$A$8:$AX$64,12)</f>
        <v>10.947528823911643</v>
      </c>
      <c r="D36" s="458">
        <f>VLOOKUP($A36,'Brd Tbl'!$A$8:$AX$64,23)</f>
        <v>13.37144981129318</v>
      </c>
      <c r="E36" s="7">
        <v>47</v>
      </c>
      <c r="F36" s="7">
        <v>45</v>
      </c>
      <c r="G36" s="576">
        <v>12.434481679097571</v>
      </c>
      <c r="H36" s="576">
        <v>0.13029577754318447</v>
      </c>
      <c r="I36" s="579">
        <v>4.4164547090033278E-2</v>
      </c>
      <c r="J36" s="7">
        <v>13.860898459385563</v>
      </c>
      <c r="K36" s="7">
        <v>0.45158265966858718</v>
      </c>
      <c r="L36" s="7">
        <v>0.16207178715928219</v>
      </c>
      <c r="M36" s="576">
        <v>0.2153565244674901</v>
      </c>
      <c r="N36" s="440">
        <f t="shared" si="1"/>
        <v>-0.48944864809238275</v>
      </c>
      <c r="O36" s="440">
        <f t="shared" si="2"/>
        <v>0.23955997911946114</v>
      </c>
      <c r="P36" s="465">
        <f t="shared" si="3"/>
        <v>13.860898459385563</v>
      </c>
      <c r="Q36" s="440">
        <f t="shared" si="4"/>
        <v>13.266192914081488</v>
      </c>
      <c r="R36" s="440">
        <f t="shared" si="5"/>
        <v>14.455604004689638</v>
      </c>
      <c r="S36" s="466">
        <f t="shared" si="6"/>
        <v>-405007.23918715178</v>
      </c>
      <c r="T36" s="440">
        <f t="shared" si="7"/>
        <v>164030863793.99878</v>
      </c>
      <c r="U36" s="466">
        <f t="shared" si="8"/>
        <v>1046433.694309065</v>
      </c>
      <c r="V36" s="467">
        <f t="shared" si="9"/>
        <v>577343.62996024441</v>
      </c>
      <c r="W36" s="467">
        <f t="shared" si="10"/>
        <v>1896658.1075134068</v>
      </c>
      <c r="X36" s="468">
        <f t="shared" si="11"/>
        <v>0.63141648735110834</v>
      </c>
      <c r="Y36" s="468">
        <f t="shared" si="12"/>
        <v>0.63141648735110834</v>
      </c>
      <c r="Z36" s="517">
        <f t="shared" si="13"/>
        <v>10.947528823911643</v>
      </c>
      <c r="AA36" s="471">
        <f t="shared" si="14"/>
        <v>13.850118580980439</v>
      </c>
      <c r="AB36" s="473">
        <f t="shared" si="15"/>
        <v>13.37144981129318</v>
      </c>
      <c r="AC36" s="801">
        <f t="shared" si="16"/>
        <v>90</v>
      </c>
      <c r="AD36" s="435">
        <f t="shared" si="17"/>
        <v>13.255413035676364</v>
      </c>
      <c r="AE36" s="441">
        <f t="shared" si="18"/>
        <v>14.444824126284514</v>
      </c>
    </row>
    <row r="37" spans="1:35">
      <c r="A37" s="134">
        <v>1986</v>
      </c>
      <c r="B37" s="440">
        <f t="shared" si="0"/>
        <v>1991</v>
      </c>
      <c r="C37" s="458">
        <f>VLOOKUP($A37,'Brd Tbl'!$A$8:$AX$64,12)</f>
        <v>12.368367898989618</v>
      </c>
      <c r="D37" s="458">
        <f>VLOOKUP($A37,'Brd Tbl'!$A$8:$AX$64,23)</f>
        <v>14.072007751012482</v>
      </c>
      <c r="E37" s="7">
        <v>47</v>
      </c>
      <c r="F37" s="7">
        <v>45</v>
      </c>
      <c r="G37" s="576">
        <v>12.448316419799607</v>
      </c>
      <c r="H37" s="576">
        <v>0.12794642736397266</v>
      </c>
      <c r="I37" s="579">
        <v>4.5396039886876197E-2</v>
      </c>
      <c r="J37" s="7">
        <v>14.030804904798574</v>
      </c>
      <c r="K37" s="7">
        <v>0.45727169035485515</v>
      </c>
      <c r="L37" s="7">
        <v>0.15003979679526916</v>
      </c>
      <c r="M37" s="576">
        <v>0.22041742456500785</v>
      </c>
      <c r="N37" s="440">
        <f t="shared" si="1"/>
        <v>4.1202846213908018E-2</v>
      </c>
      <c r="O37" s="440">
        <f t="shared" si="2"/>
        <v>1.6976745361269542E-3</v>
      </c>
      <c r="P37" s="465">
        <f t="shared" si="3"/>
        <v>14.030804904798574</v>
      </c>
      <c r="Q37" s="440">
        <f t="shared" si="4"/>
        <v>13.436099359494499</v>
      </c>
      <c r="R37" s="440">
        <f t="shared" si="5"/>
        <v>14.625510450102649</v>
      </c>
      <c r="S37" s="466">
        <f t="shared" si="6"/>
        <v>52168.237997212214</v>
      </c>
      <c r="T37" s="440">
        <f t="shared" si="7"/>
        <v>2721525055.7337761</v>
      </c>
      <c r="U37" s="466">
        <f t="shared" si="8"/>
        <v>1240226.9001065267</v>
      </c>
      <c r="V37" s="467">
        <f t="shared" si="9"/>
        <v>684264.18642284407</v>
      </c>
      <c r="W37" s="467">
        <f t="shared" si="10"/>
        <v>2247907.7442134754</v>
      </c>
      <c r="X37" s="468">
        <f t="shared" si="11"/>
        <v>-4.0365548011698525E-2</v>
      </c>
      <c r="Y37" s="468">
        <f t="shared" si="12"/>
        <v>4.0365548011698525E-2</v>
      </c>
      <c r="Z37" s="517">
        <f t="shared" si="13"/>
        <v>12.368367898989618</v>
      </c>
      <c r="AA37" s="480">
        <f t="shared" si="14"/>
        <v>14.03290197417649</v>
      </c>
      <c r="AB37" s="473">
        <f t="shared" si="15"/>
        <v>14.072007751012482</v>
      </c>
      <c r="AC37" s="801">
        <f t="shared" si="16"/>
        <v>91</v>
      </c>
      <c r="AD37" s="435">
        <f t="shared" si="17"/>
        <v>13.438196428872415</v>
      </c>
      <c r="AE37" s="441">
        <f t="shared" si="18"/>
        <v>14.627607519480565</v>
      </c>
    </row>
    <row r="38" spans="1:35">
      <c r="A38" s="134">
        <v>1987</v>
      </c>
      <c r="B38" s="440">
        <f t="shared" si="0"/>
        <v>1992</v>
      </c>
      <c r="C38" s="458">
        <f>VLOOKUP($A38,'Brd Tbl'!$A$8:$AX$64,12)</f>
        <v>11.980728768239114</v>
      </c>
      <c r="D38" s="458">
        <f>VLOOKUP($A38,'Brd Tbl'!$A$8:$AX$64,23)</f>
        <v>13.888105737944398</v>
      </c>
      <c r="E38" s="7">
        <v>47</v>
      </c>
      <c r="F38" s="7">
        <v>45</v>
      </c>
      <c r="G38" s="576">
        <v>12.42997294711301</v>
      </c>
      <c r="H38" s="576">
        <v>0.1299531663269359</v>
      </c>
      <c r="I38" s="579">
        <v>4.5100094956635799E-2</v>
      </c>
      <c r="J38" s="7">
        <v>13.986906585449892</v>
      </c>
      <c r="K38" s="7">
        <v>0.45708290511778638</v>
      </c>
      <c r="L38" s="7">
        <v>0.15576493292967791</v>
      </c>
      <c r="M38" s="576">
        <v>0.22024585152390835</v>
      </c>
      <c r="N38" s="440">
        <f t="shared" si="1"/>
        <v>-9.8800847505494005E-2</v>
      </c>
      <c r="O38" s="440">
        <f t="shared" si="2"/>
        <v>9.761607467803881E-3</v>
      </c>
      <c r="P38" s="465">
        <f t="shared" si="3"/>
        <v>13.986906585449892</v>
      </c>
      <c r="Q38" s="440">
        <f t="shared" si="4"/>
        <v>13.392201040145817</v>
      </c>
      <c r="R38" s="440">
        <f t="shared" si="5"/>
        <v>14.581612130753967</v>
      </c>
      <c r="S38" s="466">
        <f t="shared" si="6"/>
        <v>-111665.57723488938</v>
      </c>
      <c r="T38" s="440">
        <f t="shared" si="7"/>
        <v>12469201139.201046</v>
      </c>
      <c r="U38" s="466">
        <f t="shared" si="8"/>
        <v>1186960.7250253211</v>
      </c>
      <c r="V38" s="467">
        <f t="shared" si="9"/>
        <v>654875.90597781644</v>
      </c>
      <c r="W38" s="467">
        <f t="shared" si="10"/>
        <v>2151362.9527246053</v>
      </c>
      <c r="X38" s="468">
        <f t="shared" si="11"/>
        <v>0.10384644389435327</v>
      </c>
      <c r="Y38" s="468">
        <f t="shared" si="12"/>
        <v>0.10384644389435327</v>
      </c>
      <c r="Z38" s="473">
        <f t="shared" si="13"/>
        <v>11.980728768239114</v>
      </c>
      <c r="AA38" s="480">
        <f t="shared" si="14"/>
        <v>13.983034260867537</v>
      </c>
      <c r="AB38" s="473">
        <f t="shared" si="15"/>
        <v>13.888105737944398</v>
      </c>
      <c r="AC38" s="801">
        <f t="shared" si="16"/>
        <v>92</v>
      </c>
      <c r="AD38" s="435">
        <f t="shared" si="17"/>
        <v>13.388328715563462</v>
      </c>
      <c r="AE38" s="441">
        <f t="shared" si="18"/>
        <v>14.577739806171612</v>
      </c>
    </row>
    <row r="39" spans="1:35">
      <c r="A39" s="134">
        <v>1988</v>
      </c>
      <c r="B39" s="440">
        <f t="shared" si="0"/>
        <v>1993</v>
      </c>
      <c r="C39" s="458">
        <f>VLOOKUP($A39,'Brd Tbl'!$A$8:$AX$64,12)</f>
        <v>11.393794873387254</v>
      </c>
      <c r="D39" s="458">
        <f>VLOOKUP($A39,'Brd Tbl'!$A$8:$AX$64,23)</f>
        <v>14.100673827299241</v>
      </c>
      <c r="E39" s="7">
        <v>47</v>
      </c>
      <c r="F39" s="7">
        <v>45</v>
      </c>
      <c r="G39" s="576">
        <v>12.453701027755864</v>
      </c>
      <c r="H39" s="576">
        <v>0.12712887597577693</v>
      </c>
      <c r="I39" s="579">
        <v>4.4746113164601156E-2</v>
      </c>
      <c r="J39" s="7">
        <v>13.902181363108156</v>
      </c>
      <c r="K39" s="7">
        <v>0.45637840757990944</v>
      </c>
      <c r="L39" s="7">
        <v>0.15209426543629495</v>
      </c>
      <c r="M39" s="576">
        <v>0.2196152632074648</v>
      </c>
      <c r="N39" s="440">
        <f t="shared" si="1"/>
        <v>0.19849246419108546</v>
      </c>
      <c r="O39" s="440">
        <f t="shared" si="2"/>
        <v>3.9399258340649342E-2</v>
      </c>
      <c r="P39" s="465">
        <f t="shared" si="3"/>
        <v>13.902181363108156</v>
      </c>
      <c r="Q39" s="440">
        <f t="shared" si="4"/>
        <v>13.307475817804081</v>
      </c>
      <c r="R39" s="440">
        <f t="shared" si="5"/>
        <v>14.496886908412231</v>
      </c>
      <c r="S39" s="466">
        <f t="shared" si="6"/>
        <v>239441.5339619834</v>
      </c>
      <c r="T39" s="440">
        <f t="shared" si="7"/>
        <v>57332248186.06765</v>
      </c>
      <c r="U39" s="466">
        <f t="shared" si="8"/>
        <v>1090537.6212461013</v>
      </c>
      <c r="V39" s="467">
        <f t="shared" si="9"/>
        <v>601676.86904821417</v>
      </c>
      <c r="W39" s="467">
        <f t="shared" si="10"/>
        <v>1976596.3501877706</v>
      </c>
      <c r="X39" s="468">
        <f t="shared" si="11"/>
        <v>-0.18003405017616314</v>
      </c>
      <c r="Y39" s="468">
        <f t="shared" si="12"/>
        <v>0.18003405017616314</v>
      </c>
      <c r="Z39" s="473">
        <f t="shared" si="13"/>
        <v>11.393794873387254</v>
      </c>
      <c r="AA39" s="480">
        <f t="shared" si="14"/>
        <v>13.907528335696588</v>
      </c>
      <c r="AB39" s="473">
        <f t="shared" si="15"/>
        <v>14.100673827299241</v>
      </c>
      <c r="AC39" s="801">
        <f t="shared" si="16"/>
        <v>93</v>
      </c>
      <c r="AD39" s="435">
        <f t="shared" si="17"/>
        <v>13.312822790392513</v>
      </c>
      <c r="AE39" s="441">
        <f t="shared" si="18"/>
        <v>14.502233881000663</v>
      </c>
    </row>
    <row r="40" spans="1:35" ht="18">
      <c r="A40" s="134">
        <v>1989</v>
      </c>
      <c r="B40" s="440">
        <f t="shared" si="0"/>
        <v>1994</v>
      </c>
      <c r="C40" s="458">
        <f>VLOOKUP($A40,'Brd Tbl'!$A$8:$AX$64,12)</f>
        <v>12.390944748030137</v>
      </c>
      <c r="D40" s="458">
        <f>VLOOKUP($A40,'Brd Tbl'!$A$8:$AX$64,23)</f>
        <v>14.102620144485565</v>
      </c>
      <c r="E40" s="7">
        <v>47</v>
      </c>
      <c r="F40" s="7">
        <v>45</v>
      </c>
      <c r="G40" s="576">
        <v>12.453119776855846</v>
      </c>
      <c r="H40" s="576">
        <v>0.12743552084474077</v>
      </c>
      <c r="I40" s="579">
        <v>4.54069956270974E-2</v>
      </c>
      <c r="J40" s="7">
        <v>14.032166274579472</v>
      </c>
      <c r="K40" s="7">
        <v>0.4571964548816424</v>
      </c>
      <c r="L40" s="7">
        <v>0.14896095072932405</v>
      </c>
      <c r="M40" s="576">
        <v>0.2203479336448245</v>
      </c>
      <c r="N40" s="440">
        <f t="shared" si="1"/>
        <v>7.0453869906092592E-2</v>
      </c>
      <c r="O40" s="440">
        <f t="shared" si="2"/>
        <v>4.9637477847446192E-3</v>
      </c>
      <c r="P40" s="465">
        <f t="shared" si="3"/>
        <v>14.032166274579472</v>
      </c>
      <c r="Q40" s="440">
        <f t="shared" ref="Q40:Q60" si="19">$P40-(SQRT($O$64)*$Q$64)</f>
        <v>13.437460729275397</v>
      </c>
      <c r="R40" s="440">
        <f>$P40+SQRT(ln13xln12!$O$64)*$Q$64</f>
        <v>14.508926605714722</v>
      </c>
      <c r="S40" s="466">
        <f t="shared" si="6"/>
        <v>90653.779886167264</v>
      </c>
      <c r="T40" s="440">
        <f t="shared" si="7"/>
        <v>8218107807.6496639</v>
      </c>
      <c r="U40" s="466">
        <f t="shared" si="8"/>
        <v>1241916.4573249172</v>
      </c>
      <c r="V40" s="467">
        <f t="shared" si="9"/>
        <v>685196.35737910832</v>
      </c>
      <c r="W40" s="467">
        <f t="shared" si="10"/>
        <v>2000537.80667705</v>
      </c>
      <c r="X40" s="468">
        <f t="shared" si="11"/>
        <v>-6.8029269568480794E-2</v>
      </c>
      <c r="Y40" s="468">
        <f t="shared" si="12"/>
        <v>6.8029269568480794E-2</v>
      </c>
      <c r="Z40" s="471">
        <f t="shared" si="13"/>
        <v>12.390944748030137</v>
      </c>
      <c r="AA40" s="480">
        <f t="shared" si="14"/>
        <v>14.035806365776976</v>
      </c>
      <c r="AB40" s="441">
        <f t="shared" si="15"/>
        <v>14.102620144485565</v>
      </c>
      <c r="AC40" s="801">
        <f t="shared" si="16"/>
        <v>94</v>
      </c>
      <c r="AD40" s="435">
        <f t="shared" si="17"/>
        <v>13.441100820472901</v>
      </c>
      <c r="AE40" s="441">
        <f t="shared" si="18"/>
        <v>14.630511911081051</v>
      </c>
      <c r="AH40" s="54" t="s">
        <v>317</v>
      </c>
      <c r="AI40" s="440">
        <f>ROUND(L62,5)</f>
        <v>0.15545999999999999</v>
      </c>
    </row>
    <row r="41" spans="1:35">
      <c r="A41" s="134">
        <v>1990</v>
      </c>
      <c r="B41" s="440">
        <f t="shared" si="0"/>
        <v>1995</v>
      </c>
      <c r="C41" s="458">
        <f>VLOOKUP($A41,'Brd Tbl'!$A$8:$AX$64,12)</f>
        <v>12.077595776693562</v>
      </c>
      <c r="D41" s="458">
        <f>VLOOKUP($A41,'Brd Tbl'!$A$8:$AX$64,23)</f>
        <v>13.874070782802761</v>
      </c>
      <c r="E41" s="7">
        <v>47</v>
      </c>
      <c r="F41" s="7">
        <v>45</v>
      </c>
      <c r="G41" s="576">
        <v>12.425393881252807</v>
      </c>
      <c r="H41" s="576">
        <v>0.13044029942025778</v>
      </c>
      <c r="I41" s="579">
        <v>4.5148111097758431E-2</v>
      </c>
      <c r="J41" s="7">
        <v>14.000799090641557</v>
      </c>
      <c r="K41" s="7">
        <v>0.45693681164737865</v>
      </c>
      <c r="L41" s="7">
        <v>0.15647040737270052</v>
      </c>
      <c r="M41" s="576">
        <v>0.22011184181029386</v>
      </c>
      <c r="N41" s="440">
        <f t="shared" si="1"/>
        <v>-0.12672830783879618</v>
      </c>
      <c r="O41" s="440">
        <f t="shared" si="2"/>
        <v>1.6060064007684689E-2</v>
      </c>
      <c r="P41" s="465">
        <f t="shared" si="3"/>
        <v>14.000799090641557</v>
      </c>
      <c r="Q41" s="440">
        <f t="shared" si="19"/>
        <v>13.406093545337482</v>
      </c>
      <c r="R41" s="440">
        <f>$P41+SQRT(ln13xln12!$O$64)*$Q$64</f>
        <v>14.477559421776807</v>
      </c>
      <c r="S41" s="466">
        <f t="shared" si="6"/>
        <v>-143256.8173546053</v>
      </c>
      <c r="T41" s="440">
        <f t="shared" si="7"/>
        <v>20522515718.570744</v>
      </c>
      <c r="U41" s="466">
        <f t="shared" si="8"/>
        <v>1203565.6580550319</v>
      </c>
      <c r="V41" s="467">
        <f t="shared" si="9"/>
        <v>664037.26265311916</v>
      </c>
      <c r="W41" s="467">
        <f t="shared" si="10"/>
        <v>1938760.5241527911</v>
      </c>
      <c r="X41" s="468">
        <f t="shared" si="11"/>
        <v>0.13510857578059204</v>
      </c>
      <c r="Y41" s="468">
        <f t="shared" si="12"/>
        <v>0.13510857578059204</v>
      </c>
      <c r="Z41" s="471">
        <f t="shared" si="13"/>
        <v>12.077595776693562</v>
      </c>
      <c r="AA41" s="480">
        <f t="shared" si="14"/>
        <v>13.995495686517083</v>
      </c>
      <c r="AB41" s="441">
        <f t="shared" si="15"/>
        <v>13.874070782802761</v>
      </c>
      <c r="AC41" s="801">
        <f t="shared" si="16"/>
        <v>95</v>
      </c>
      <c r="AD41" s="435">
        <f t="shared" si="17"/>
        <v>13.400790141213008</v>
      </c>
      <c r="AE41" s="441">
        <f t="shared" si="18"/>
        <v>14.590201231821158</v>
      </c>
      <c r="AH41" s="54" t="s">
        <v>202</v>
      </c>
      <c r="AI41" s="458">
        <f>ROUND(H62,5)</f>
        <v>0.12864</v>
      </c>
    </row>
    <row r="42" spans="1:35">
      <c r="A42" s="134">
        <v>1991</v>
      </c>
      <c r="B42" s="440">
        <f t="shared" si="0"/>
        <v>1996</v>
      </c>
      <c r="C42" s="458">
        <f>VLOOKUP($A42,'Brd Tbl'!$A$8:$AX$64,12)</f>
        <v>11.444517861693397</v>
      </c>
      <c r="D42" s="458">
        <f>VLOOKUP($A42,'Brd Tbl'!$A$8:$AX$64,23)</f>
        <v>14.50323529563542</v>
      </c>
      <c r="E42" s="7">
        <v>47</v>
      </c>
      <c r="F42" s="7">
        <v>45</v>
      </c>
      <c r="G42" s="576">
        <v>12.481291147412346</v>
      </c>
      <c r="H42" s="576">
        <v>0.12372333910881343</v>
      </c>
      <c r="I42" s="579">
        <v>4.3996851405608266E-2</v>
      </c>
      <c r="J42" s="7">
        <v>13.897245111751511</v>
      </c>
      <c r="K42" s="7">
        <v>0.44855213689742507</v>
      </c>
      <c r="L42" s="7">
        <v>0.14946506996592479</v>
      </c>
      <c r="M42" s="576">
        <v>0.21264026651335835</v>
      </c>
      <c r="N42" s="440">
        <f t="shared" si="1"/>
        <v>0.60599018388390924</v>
      </c>
      <c r="O42" s="440">
        <f t="shared" si="2"/>
        <v>0.36722410296365415</v>
      </c>
      <c r="P42" s="465">
        <f t="shared" si="3"/>
        <v>13.897245111751511</v>
      </c>
      <c r="Q42" s="440">
        <f t="shared" si="19"/>
        <v>13.302539566447436</v>
      </c>
      <c r="R42" s="440">
        <f>$P42+SQRT(ln13xln12!$O$64)*$Q$64</f>
        <v>14.374005442886761</v>
      </c>
      <c r="S42" s="466">
        <f t="shared" si="6"/>
        <v>904016.74610224064</v>
      </c>
      <c r="T42" s="440">
        <f t="shared" si="7"/>
        <v>817246277233.28296</v>
      </c>
      <c r="U42" s="466">
        <f t="shared" si="8"/>
        <v>1085167.7179338511</v>
      </c>
      <c r="V42" s="467">
        <f t="shared" si="9"/>
        <v>598714.15914342925</v>
      </c>
      <c r="W42" s="467">
        <f t="shared" si="10"/>
        <v>1748039.5186873327</v>
      </c>
      <c r="X42" s="468">
        <f t="shared" si="11"/>
        <v>-0.4544660198421086</v>
      </c>
      <c r="Y42" s="468">
        <f t="shared" si="12"/>
        <v>0.4544660198421086</v>
      </c>
      <c r="Z42" s="471">
        <f t="shared" si="13"/>
        <v>11.444517861693397</v>
      </c>
      <c r="AA42" s="480">
        <f t="shared" si="14"/>
        <v>13.914053578476199</v>
      </c>
      <c r="AB42" s="441">
        <f t="shared" si="15"/>
        <v>14.50323529563542</v>
      </c>
      <c r="AC42" s="801">
        <f t="shared" si="16"/>
        <v>96</v>
      </c>
      <c r="AD42" s="435">
        <f t="shared" si="17"/>
        <v>13.319348033172124</v>
      </c>
      <c r="AE42" s="441">
        <f t="shared" si="18"/>
        <v>14.508759123780274</v>
      </c>
      <c r="AH42" s="54" t="s">
        <v>211</v>
      </c>
      <c r="AI42" s="510">
        <f>X65</f>
        <v>0.11326093762241889</v>
      </c>
    </row>
    <row r="43" spans="1:35">
      <c r="A43" s="134">
        <v>1992</v>
      </c>
      <c r="B43" s="440">
        <f t="shared" si="0"/>
        <v>1997</v>
      </c>
      <c r="C43" s="458">
        <f>VLOOKUP($A43,'Brd Tbl'!$A$8:$AX$64,12)</f>
        <v>11.63141771270136</v>
      </c>
      <c r="D43" s="458">
        <f>VLOOKUP($A43,'Brd Tbl'!$A$8:$AX$64,23)</f>
        <v>14.697313220380199</v>
      </c>
      <c r="E43" s="7">
        <v>47</v>
      </c>
      <c r="F43" s="7">
        <v>45</v>
      </c>
      <c r="G43" s="576">
        <v>12.50769413279073</v>
      </c>
      <c r="H43" s="576">
        <v>0.12088193529969417</v>
      </c>
      <c r="I43" s="579">
        <v>4.3490459432637456E-2</v>
      </c>
      <c r="J43" s="7">
        <v>13.913722416181212</v>
      </c>
      <c r="K43" s="7">
        <v>0.44262046854912379</v>
      </c>
      <c r="L43" s="7">
        <v>0.14652539680972398</v>
      </c>
      <c r="M43" s="576">
        <v>0.20738940597162298</v>
      </c>
      <c r="N43" s="440">
        <f t="shared" si="1"/>
        <v>0.78359080419898675</v>
      </c>
      <c r="O43" s="440">
        <f t="shared" si="2"/>
        <v>0.61401454842521475</v>
      </c>
      <c r="P43" s="465">
        <f t="shared" si="3"/>
        <v>13.913722416181212</v>
      </c>
      <c r="Q43" s="440">
        <f t="shared" si="19"/>
        <v>13.319016870877137</v>
      </c>
      <c r="R43" s="440">
        <f>$P43+SQRT(ln13xln12!$O$64)*$Q$64</f>
        <v>14.390482747316462</v>
      </c>
      <c r="S43" s="466">
        <f t="shared" si="6"/>
        <v>1312053.1826894467</v>
      </c>
      <c r="T43" s="440">
        <f t="shared" si="7"/>
        <v>1721483554205.5066</v>
      </c>
      <c r="U43" s="466">
        <f t="shared" si="8"/>
        <v>1103196.4815918959</v>
      </c>
      <c r="V43" s="467">
        <f t="shared" si="9"/>
        <v>608661.07877210539</v>
      </c>
      <c r="W43" s="467">
        <f t="shared" si="10"/>
        <v>1777081.1044500761</v>
      </c>
      <c r="X43" s="468">
        <f t="shared" si="11"/>
        <v>-0.54323708314430008</v>
      </c>
      <c r="Y43" s="468">
        <f t="shared" si="12"/>
        <v>0.54323708314430008</v>
      </c>
      <c r="Z43" s="471">
        <f t="shared" si="13"/>
        <v>11.63141771270136</v>
      </c>
      <c r="AA43" s="480">
        <f t="shared" si="14"/>
        <v>13.938097250665603</v>
      </c>
      <c r="AB43" s="441">
        <f t="shared" si="15"/>
        <v>14.697313220380199</v>
      </c>
      <c r="AC43" s="801">
        <f t="shared" si="16"/>
        <v>97</v>
      </c>
      <c r="AD43" s="435">
        <f t="shared" si="17"/>
        <v>13.343391705361528</v>
      </c>
      <c r="AE43" s="441">
        <f t="shared" si="18"/>
        <v>14.532802795969678</v>
      </c>
      <c r="AH43" s="54"/>
      <c r="AI43" s="11"/>
    </row>
    <row r="44" spans="1:35">
      <c r="A44" s="134">
        <v>1993</v>
      </c>
      <c r="B44" s="440">
        <f t="shared" si="0"/>
        <v>1998</v>
      </c>
      <c r="C44" s="458">
        <f>VLOOKUP($A44,'Brd Tbl'!$A$8:$AX$64,12)</f>
        <v>13.595628383617642</v>
      </c>
      <c r="D44" s="458">
        <f>VLOOKUP($A44,'Brd Tbl'!$A$8:$AX$64,23)</f>
        <v>13.922491248798858</v>
      </c>
      <c r="E44" s="7">
        <v>47</v>
      </c>
      <c r="F44" s="7">
        <v>45</v>
      </c>
      <c r="G44" s="576">
        <v>12.356789051042405</v>
      </c>
      <c r="H44" s="576">
        <v>0.13725738015749939</v>
      </c>
      <c r="I44" s="579">
        <v>4.6600409305179884E-2</v>
      </c>
      <c r="J44" s="7">
        <v>14.222889384572701</v>
      </c>
      <c r="K44" s="7">
        <v>0.45534846290970854</v>
      </c>
      <c r="L44" s="7">
        <v>0.16162787535256296</v>
      </c>
      <c r="M44" s="576">
        <v>0.21853356572585309</v>
      </c>
      <c r="N44" s="440">
        <f t="shared" si="1"/>
        <v>-0.30039813577384322</v>
      </c>
      <c r="O44" s="440">
        <f t="shared" si="2"/>
        <v>9.0239039976400343E-2</v>
      </c>
      <c r="P44" s="465">
        <f t="shared" si="3"/>
        <v>14.222889384572701</v>
      </c>
      <c r="Q44" s="440">
        <f t="shared" si="19"/>
        <v>13.628183839268626</v>
      </c>
      <c r="R44" s="440">
        <f>$P44+SQRT(ln13xln12!$O$64)*$Q$64</f>
        <v>14.699649715707951</v>
      </c>
      <c r="S44" s="466">
        <f t="shared" si="6"/>
        <v>-389960.56138708536</v>
      </c>
      <c r="T44" s="440">
        <f t="shared" si="7"/>
        <v>152069239437.33078</v>
      </c>
      <c r="U44" s="466">
        <f t="shared" si="8"/>
        <v>1502873.3262422679</v>
      </c>
      <c r="V44" s="467">
        <f t="shared" si="9"/>
        <v>829172.78587444767</v>
      </c>
      <c r="W44" s="467">
        <f t="shared" si="10"/>
        <v>2420899.4816529411</v>
      </c>
      <c r="X44" s="468">
        <f t="shared" si="11"/>
        <v>0.35039634165560934</v>
      </c>
      <c r="Y44" s="468">
        <f t="shared" si="12"/>
        <v>0.35039634165560934</v>
      </c>
      <c r="Z44" s="471">
        <f t="shared" si="13"/>
        <v>13.595628383617642</v>
      </c>
      <c r="AA44" s="480">
        <f t="shared" si="14"/>
        <v>14.190782510861073</v>
      </c>
      <c r="AB44" s="441">
        <f t="shared" si="15"/>
        <v>13.922491248798858</v>
      </c>
      <c r="AC44" s="801">
        <f t="shared" si="16"/>
        <v>98</v>
      </c>
      <c r="AD44" s="435">
        <f t="shared" si="17"/>
        <v>13.596076965556998</v>
      </c>
      <c r="AE44" s="441">
        <f t="shared" si="18"/>
        <v>14.785488056165148</v>
      </c>
      <c r="AH44" s="54"/>
      <c r="AI44" s="11"/>
    </row>
    <row r="45" spans="1:35">
      <c r="A45" s="134">
        <v>1994</v>
      </c>
      <c r="B45" s="440">
        <f t="shared" si="0"/>
        <v>1999</v>
      </c>
      <c r="C45" s="458">
        <f>VLOOKUP($A45,'Brd Tbl'!$A$8:$AX$64,12)</f>
        <v>11.632204798551918</v>
      </c>
      <c r="D45" s="458">
        <f>VLOOKUP($A45,'Brd Tbl'!$A$8:$AX$64,23)</f>
        <v>14.011595524522779</v>
      </c>
      <c r="E45" s="7">
        <v>47</v>
      </c>
      <c r="F45" s="7">
        <v>45</v>
      </c>
      <c r="G45" s="576">
        <v>12.44815584047832</v>
      </c>
      <c r="H45" s="576">
        <v>0.12789364006160414</v>
      </c>
      <c r="I45" s="579">
        <v>4.4920973842337023E-2</v>
      </c>
      <c r="J45" s="7">
        <v>13.935840854107184</v>
      </c>
      <c r="K45" s="7">
        <v>0.45717572717454308</v>
      </c>
      <c r="L45" s="7">
        <v>0.15263602683161187</v>
      </c>
      <c r="M45" s="576">
        <v>0.22033144380854722</v>
      </c>
      <c r="N45" s="440">
        <f t="shared" si="1"/>
        <v>7.5754670415594916E-2</v>
      </c>
      <c r="O45" s="440">
        <f t="shared" si="2"/>
        <v>5.7387700897754117E-3</v>
      </c>
      <c r="P45" s="465">
        <f t="shared" si="3"/>
        <v>13.935840854107184</v>
      </c>
      <c r="Q45" s="440">
        <f t="shared" si="19"/>
        <v>13.341135308803109</v>
      </c>
      <c r="R45" s="440">
        <f>$P45+SQRT(ln13xln12!$O$64)*$Q$64</f>
        <v>14.412601185242433</v>
      </c>
      <c r="S45" s="466">
        <f t="shared" si="6"/>
        <v>88760.952880354133</v>
      </c>
      <c r="T45" s="440">
        <f t="shared" si="7"/>
        <v>7878506756.228447</v>
      </c>
      <c r="U45" s="466">
        <f t="shared" si="8"/>
        <v>1127869.3209498073</v>
      </c>
      <c r="V45" s="467">
        <f t="shared" si="9"/>
        <v>622273.70106608456</v>
      </c>
      <c r="W45" s="467">
        <f t="shared" si="10"/>
        <v>1816825.2817998878</v>
      </c>
      <c r="X45" s="468">
        <f t="shared" si="11"/>
        <v>-7.2956390112601244E-2</v>
      </c>
      <c r="Y45" s="468">
        <f t="shared" si="12"/>
        <v>7.2956390112601244E-2</v>
      </c>
      <c r="Z45" s="471">
        <f t="shared" si="13"/>
        <v>11.632204798551918</v>
      </c>
      <c r="AA45" s="480">
        <f t="shared" si="14"/>
        <v>13.938198505075778</v>
      </c>
      <c r="AB45" s="441">
        <f t="shared" si="15"/>
        <v>14.011595524522779</v>
      </c>
      <c r="AC45" s="801">
        <f t="shared" si="16"/>
        <v>99</v>
      </c>
      <c r="AD45" s="435">
        <f t="shared" si="17"/>
        <v>13.343492959771703</v>
      </c>
      <c r="AE45" s="441">
        <f t="shared" si="18"/>
        <v>14.532904050379853</v>
      </c>
      <c r="AH45" s="54"/>
      <c r="AI45" s="11"/>
    </row>
    <row r="46" spans="1:35">
      <c r="A46" s="134">
        <v>1995</v>
      </c>
      <c r="B46" s="440">
        <f t="shared" si="0"/>
        <v>2000</v>
      </c>
      <c r="C46" s="458">
        <f>VLOOKUP($A46,'Brd Tbl'!$A$8:$AX$64,12)</f>
        <v>11.530092281583716</v>
      </c>
      <c r="D46" s="458">
        <f>VLOOKUP($A46,'Brd Tbl'!$A$8:$AX$64,23)</f>
        <v>13.74269233377956</v>
      </c>
      <c r="E46" s="7">
        <v>47</v>
      </c>
      <c r="F46" s="7">
        <v>45</v>
      </c>
      <c r="G46" s="576">
        <v>12.42790102079285</v>
      </c>
      <c r="H46" s="576">
        <v>0.13032385386369369</v>
      </c>
      <c r="I46" s="579">
        <v>4.4807894221885546E-2</v>
      </c>
      <c r="J46" s="7">
        <v>13.930547082332868</v>
      </c>
      <c r="K46" s="7">
        <v>0.45647770193319515</v>
      </c>
      <c r="L46" s="7">
        <v>0.15823946510367701</v>
      </c>
      <c r="M46" s="576">
        <v>0.21970270686249935</v>
      </c>
      <c r="N46" s="440">
        <f t="shared" si="1"/>
        <v>-0.18785474855330797</v>
      </c>
      <c r="O46" s="440">
        <f t="shared" si="2"/>
        <v>3.5289406554026563E-2</v>
      </c>
      <c r="P46" s="465">
        <f t="shared" si="3"/>
        <v>13.930547082332868</v>
      </c>
      <c r="Q46" s="440">
        <f t="shared" si="19"/>
        <v>13.335841537028793</v>
      </c>
      <c r="R46" s="440">
        <f>$P46+SQRT(ln13xln12!$O$64)*$Q$64</f>
        <v>14.407307413468118</v>
      </c>
      <c r="S46" s="466">
        <f t="shared" si="6"/>
        <v>-192144.58970556827</v>
      </c>
      <c r="T46" s="440">
        <f t="shared" si="7"/>
        <v>36919543353.12117</v>
      </c>
      <c r="U46" s="466">
        <f t="shared" si="8"/>
        <v>1121914.4140392034</v>
      </c>
      <c r="V46" s="467">
        <f t="shared" si="9"/>
        <v>618988.2300510162</v>
      </c>
      <c r="W46" s="467">
        <f t="shared" si="10"/>
        <v>1807232.8359154311</v>
      </c>
      <c r="X46" s="468">
        <f t="shared" si="11"/>
        <v>0.20665823376584419</v>
      </c>
      <c r="Y46" s="468">
        <f t="shared" si="12"/>
        <v>0.20665823376584419</v>
      </c>
      <c r="Z46" s="471">
        <f t="shared" si="13"/>
        <v>11.530092281583716</v>
      </c>
      <c r="AA46" s="480">
        <f t="shared" si="14"/>
        <v>13.925062272643395</v>
      </c>
      <c r="AB46" s="441">
        <f t="shared" si="15"/>
        <v>13.74269233377956</v>
      </c>
      <c r="AC46" s="976" t="s">
        <v>315</v>
      </c>
      <c r="AD46" s="435">
        <f t="shared" si="17"/>
        <v>13.33035672733932</v>
      </c>
      <c r="AE46" s="441">
        <f t="shared" si="18"/>
        <v>14.51976781794747</v>
      </c>
      <c r="AH46" s="54"/>
      <c r="AI46" s="11"/>
    </row>
    <row r="47" spans="1:35">
      <c r="A47" s="134">
        <v>1996</v>
      </c>
      <c r="B47" s="440">
        <f t="shared" si="0"/>
        <v>2001</v>
      </c>
      <c r="C47" s="458">
        <f>VLOOKUP($A47,'Brd Tbl'!$A$8:$AX$64,12)</f>
        <v>11.098819997280653</v>
      </c>
      <c r="D47" s="458">
        <f>VLOOKUP($A47,'Brd Tbl'!$A$8:$AX$64,23)</f>
        <v>14.32895948682159</v>
      </c>
      <c r="E47" s="7">
        <v>47</v>
      </c>
      <c r="F47" s="7">
        <v>45</v>
      </c>
      <c r="G47" s="576">
        <v>12.455989170952979</v>
      </c>
      <c r="H47" s="576">
        <v>0.12637836625507357</v>
      </c>
      <c r="I47" s="579">
        <v>4.4236430344787525E-2</v>
      </c>
      <c r="J47" s="7">
        <v>13.858639909568447</v>
      </c>
      <c r="K47" s="7">
        <v>0.45203096504502621</v>
      </c>
      <c r="L47" s="7">
        <v>0.15352734631683451</v>
      </c>
      <c r="M47" s="576">
        <v>0.21574715158178556</v>
      </c>
      <c r="N47" s="440">
        <f t="shared" si="1"/>
        <v>0.470319577253143</v>
      </c>
      <c r="O47" s="440">
        <f t="shared" si="2"/>
        <v>0.22120050474757513</v>
      </c>
      <c r="P47" s="465">
        <f t="shared" si="3"/>
        <v>13.858639909568447</v>
      </c>
      <c r="Q47" s="440">
        <f t="shared" si="19"/>
        <v>13.263934364264372</v>
      </c>
      <c r="R47" s="440">
        <f>$P47+SQRT(ln13xln12!$O$64)*$Q$64</f>
        <v>14.335400240703697</v>
      </c>
      <c r="S47" s="466">
        <f t="shared" si="6"/>
        <v>626971.6429856777</v>
      </c>
      <c r="T47" s="440">
        <f t="shared" si="7"/>
        <v>393093441108.1601</v>
      </c>
      <c r="U47" s="466">
        <f t="shared" si="8"/>
        <v>1044072.938625845</v>
      </c>
      <c r="V47" s="467">
        <f t="shared" si="9"/>
        <v>576041.14203099289</v>
      </c>
      <c r="W47" s="467">
        <f t="shared" si="10"/>
        <v>1681842.1032510325</v>
      </c>
      <c r="X47" s="468">
        <f t="shared" si="11"/>
        <v>-0.37519743631318231</v>
      </c>
      <c r="Y47" s="468">
        <f t="shared" si="12"/>
        <v>0.37519743631318231</v>
      </c>
      <c r="Z47" s="471">
        <f t="shared" si="13"/>
        <v>11.098819997280653</v>
      </c>
      <c r="AA47" s="480">
        <f t="shared" si="14"/>
        <v>13.869581386103166</v>
      </c>
      <c r="AB47" s="441">
        <f t="shared" si="15"/>
        <v>14.32895948682159</v>
      </c>
      <c r="AC47" s="976" t="s">
        <v>316</v>
      </c>
      <c r="AD47" s="435">
        <f t="shared" si="17"/>
        <v>13.274875840799091</v>
      </c>
      <c r="AE47" s="441">
        <f t="shared" si="18"/>
        <v>14.464286931407241</v>
      </c>
      <c r="AH47" s="54"/>
      <c r="AI47" s="11"/>
    </row>
    <row r="48" spans="1:35">
      <c r="A48" s="134">
        <v>1997</v>
      </c>
      <c r="B48" s="440">
        <f t="shared" si="0"/>
        <v>2002</v>
      </c>
      <c r="C48" s="458">
        <f>VLOOKUP($A48,'Brd Tbl'!$A$8:$AX$64,12)</f>
        <v>11.988035255548843</v>
      </c>
      <c r="D48" s="458">
        <f>VLOOKUP($A48,'Brd Tbl'!$A$8:$AX$64,23)</f>
        <v>14.039363355788447</v>
      </c>
      <c r="E48" s="7">
        <v>47</v>
      </c>
      <c r="F48" s="7">
        <v>45</v>
      </c>
      <c r="G48" s="576">
        <v>12.448708807489934</v>
      </c>
      <c r="H48" s="576">
        <v>0.12787702756817421</v>
      </c>
      <c r="I48" s="579">
        <v>4.5119484324581266E-2</v>
      </c>
      <c r="J48" s="7">
        <v>13.981703122351998</v>
      </c>
      <c r="K48" s="7">
        <v>0.4572332364644493</v>
      </c>
      <c r="L48" s="7">
        <v>0.15146552333200808</v>
      </c>
      <c r="M48" s="576">
        <v>0.22038280694833084</v>
      </c>
      <c r="N48" s="440">
        <f t="shared" si="1"/>
        <v>5.7660233436449104E-2</v>
      </c>
      <c r="O48" s="440">
        <f t="shared" si="2"/>
        <v>3.3247025199458031E-3</v>
      </c>
      <c r="P48" s="465">
        <f t="shared" si="3"/>
        <v>13.981703122351998</v>
      </c>
      <c r="Q48" s="440">
        <f t="shared" si="19"/>
        <v>13.386997577047923</v>
      </c>
      <c r="R48" s="440">
        <f>$P48+SQRT(ln13xln12!$O$64)*$Q$64</f>
        <v>14.458463453487248</v>
      </c>
      <c r="S48" s="466">
        <f t="shared" si="6"/>
        <v>70086.412656308385</v>
      </c>
      <c r="T48" s="440">
        <f t="shared" si="7"/>
        <v>4912105239.030344</v>
      </c>
      <c r="U48" s="466">
        <f t="shared" si="8"/>
        <v>1180800.4599496194</v>
      </c>
      <c r="V48" s="467">
        <f t="shared" si="9"/>
        <v>651477.13372911571</v>
      </c>
      <c r="W48" s="467">
        <f t="shared" si="10"/>
        <v>1902089.265617036</v>
      </c>
      <c r="X48" s="468">
        <f t="shared" si="11"/>
        <v>-5.6029377389099841E-2</v>
      </c>
      <c r="Y48" s="468">
        <f t="shared" si="12"/>
        <v>5.6029377389099841E-2</v>
      </c>
      <c r="Z48" s="471">
        <f t="shared" si="13"/>
        <v>11.988035255548843</v>
      </c>
      <c r="AA48" s="480">
        <f t="shared" si="14"/>
        <v>13.983974201615396</v>
      </c>
      <c r="AB48" s="441">
        <f t="shared" si="15"/>
        <v>14.039363355788447</v>
      </c>
      <c r="AC48" s="976" t="s">
        <v>324</v>
      </c>
      <c r="AD48" s="435">
        <f t="shared" si="17"/>
        <v>13.389268656311321</v>
      </c>
      <c r="AE48" s="441">
        <f t="shared" si="18"/>
        <v>14.578679746919471</v>
      </c>
      <c r="AH48" s="54"/>
      <c r="AI48" s="11"/>
    </row>
    <row r="49" spans="1:35">
      <c r="A49" s="134">
        <v>1998</v>
      </c>
      <c r="B49" s="440">
        <f t="shared" si="0"/>
        <v>2003</v>
      </c>
      <c r="C49" s="458">
        <f>VLOOKUP($A49,'Brd Tbl'!$A$8:$AX$64,12)</f>
        <v>10.947893925516528</v>
      </c>
      <c r="D49" s="458">
        <f>VLOOKUP($A49,'Brd Tbl'!$A$8:$AX$64,23)</f>
        <v>14.137569843559483</v>
      </c>
      <c r="E49" s="7">
        <v>47</v>
      </c>
      <c r="F49" s="7">
        <v>45</v>
      </c>
      <c r="G49" s="576">
        <v>12.446168476888664</v>
      </c>
      <c r="H49" s="576">
        <v>0.12765229933351921</v>
      </c>
      <c r="I49" s="579">
        <v>4.4523666336411548E-2</v>
      </c>
      <c r="J49" s="7">
        <v>13.843692309340316</v>
      </c>
      <c r="K49" s="7">
        <v>0.45525408168297388</v>
      </c>
      <c r="L49" s="7">
        <v>0.15445430388323919</v>
      </c>
      <c r="M49" s="576">
        <v>0.21861601327601615</v>
      </c>
      <c r="N49" s="440">
        <f t="shared" si="1"/>
        <v>0.29387753421916685</v>
      </c>
      <c r="O49" s="440">
        <f t="shared" si="2"/>
        <v>8.6364005118737583E-2</v>
      </c>
      <c r="P49" s="465">
        <f t="shared" si="3"/>
        <v>13.843692309340316</v>
      </c>
      <c r="Q49" s="440">
        <f t="shared" si="19"/>
        <v>13.248986764036241</v>
      </c>
      <c r="R49" s="440">
        <f>$P49+SQRT(ln13xln12!$O$64)*$Q$64</f>
        <v>14.320452640475565</v>
      </c>
      <c r="S49" s="466">
        <f t="shared" si="6"/>
        <v>351383.97193355358</v>
      </c>
      <c r="T49" s="440">
        <f t="shared" si="7"/>
        <v>123470695731.80037</v>
      </c>
      <c r="U49" s="466">
        <f t="shared" si="8"/>
        <v>1028582.6137389998</v>
      </c>
      <c r="V49" s="467">
        <f t="shared" si="9"/>
        <v>567494.7425332783</v>
      </c>
      <c r="W49" s="467">
        <f t="shared" si="10"/>
        <v>1656889.5547997509</v>
      </c>
      <c r="X49" s="468">
        <f t="shared" si="11"/>
        <v>-0.25463223210024305</v>
      </c>
      <c r="Y49" s="468">
        <f t="shared" si="12"/>
        <v>0.25463223210024305</v>
      </c>
      <c r="Z49" s="471">
        <f t="shared" si="13"/>
        <v>10.947893925516528</v>
      </c>
      <c r="AA49" s="480">
        <f t="shared" si="14"/>
        <v>13.850165549360863</v>
      </c>
      <c r="AB49" s="441">
        <f t="shared" si="15"/>
        <v>14.137569843559483</v>
      </c>
      <c r="AC49" s="976" t="s">
        <v>349</v>
      </c>
      <c r="AD49" s="435">
        <f t="shared" si="17"/>
        <v>13.255460004056788</v>
      </c>
      <c r="AE49" s="441">
        <f t="shared" si="18"/>
        <v>14.444871094664938</v>
      </c>
      <c r="AH49" s="54"/>
      <c r="AI49" s="11"/>
    </row>
    <row r="50" spans="1:35">
      <c r="A50" s="134">
        <v>1999</v>
      </c>
      <c r="B50" s="440">
        <f t="shared" si="0"/>
        <v>2004</v>
      </c>
      <c r="C50" s="458">
        <f>VLOOKUP($A50,'Brd Tbl'!$A$8:$AX$64,12)</f>
        <v>11.171887521512488</v>
      </c>
      <c r="D50" s="458">
        <f>VLOOKUP($A50,'Brd Tbl'!$A$8:$AX$64,23)</f>
        <v>13.811698053073718</v>
      </c>
      <c r="E50" s="7">
        <v>47</v>
      </c>
      <c r="F50" s="7">
        <v>45</v>
      </c>
      <c r="G50" s="576">
        <v>12.43918421232706</v>
      </c>
      <c r="H50" s="576">
        <v>0.12902499873735115</v>
      </c>
      <c r="I50" s="579">
        <v>4.4759403325468371E-2</v>
      </c>
      <c r="J50" s="7">
        <v>13.880636985684038</v>
      </c>
      <c r="K50" s="7">
        <v>0.4571981284953141</v>
      </c>
      <c r="L50" s="7">
        <v>0.15587407066334441</v>
      </c>
      <c r="M50" s="576">
        <v>0.22035242665238394</v>
      </c>
      <c r="N50" s="440">
        <f t="shared" si="1"/>
        <v>-6.8938932610320691E-2</v>
      </c>
      <c r="O50" s="440">
        <f t="shared" si="2"/>
        <v>4.7525764294503378E-3</v>
      </c>
      <c r="P50" s="465">
        <f t="shared" si="3"/>
        <v>13.880636985684038</v>
      </c>
      <c r="Q50" s="440">
        <f t="shared" si="19"/>
        <v>13.285931440379963</v>
      </c>
      <c r="R50" s="440">
        <f>$P50+SQRT(ln13xln12!$O$64)*$Q$64</f>
        <v>14.357397316819288</v>
      </c>
      <c r="S50" s="466">
        <f t="shared" si="6"/>
        <v>-71099.197916254867</v>
      </c>
      <c r="T50" s="440">
        <f t="shared" si="7"/>
        <v>5055095944.3347807</v>
      </c>
      <c r="U50" s="466">
        <f t="shared" si="8"/>
        <v>1067293.9513953489</v>
      </c>
      <c r="V50" s="467">
        <f t="shared" si="9"/>
        <v>588852.7553005279</v>
      </c>
      <c r="W50" s="467">
        <f t="shared" si="10"/>
        <v>1719247.609620427</v>
      </c>
      <c r="X50" s="468">
        <f t="shared" si="11"/>
        <v>7.137078133361896E-2</v>
      </c>
      <c r="Y50" s="468">
        <f t="shared" si="12"/>
        <v>7.137078133361896E-2</v>
      </c>
      <c r="Z50" s="471">
        <f t="shared" si="13"/>
        <v>11.171887521512488</v>
      </c>
      <c r="AA50" s="480">
        <f t="shared" si="14"/>
        <v>13.87898113463612</v>
      </c>
      <c r="AB50" s="441">
        <f t="shared" si="15"/>
        <v>13.811698053073718</v>
      </c>
      <c r="AC50" s="976" t="s">
        <v>350</v>
      </c>
      <c r="AD50" s="435">
        <f t="shared" si="17"/>
        <v>13.284275589332045</v>
      </c>
      <c r="AE50" s="441">
        <f t="shared" si="18"/>
        <v>14.473686679940196</v>
      </c>
      <c r="AH50" s="54"/>
      <c r="AI50" s="11"/>
    </row>
    <row r="51" spans="1:35">
      <c r="A51" s="134">
        <v>2000</v>
      </c>
      <c r="B51" s="440">
        <f t="shared" si="0"/>
        <v>2005</v>
      </c>
      <c r="C51" s="458">
        <f>VLOOKUP($A51,'Brd Tbl'!$A$8:$AX$64,12)</f>
        <v>11.489160711917497</v>
      </c>
      <c r="D51" s="458">
        <f>VLOOKUP($A51,'Brd Tbl'!$A$8:$AX$64,23)</f>
        <v>14.176239858706381</v>
      </c>
      <c r="E51" s="7">
        <v>47</v>
      </c>
      <c r="F51" s="7">
        <v>45</v>
      </c>
      <c r="G51" s="576">
        <v>12.46018159483206</v>
      </c>
      <c r="H51" s="576">
        <v>0.12638843848666245</v>
      </c>
      <c r="I51" s="579">
        <v>4.4711464295473964E-2</v>
      </c>
      <c r="J51" s="7">
        <v>13.912278676733623</v>
      </c>
      <c r="K51" s="7">
        <v>0.45566320801411486</v>
      </c>
      <c r="L51" s="7">
        <v>0.15079205061407533</v>
      </c>
      <c r="M51" s="576">
        <v>0.21897108773410723</v>
      </c>
      <c r="N51" s="440">
        <f t="shared" si="1"/>
        <v>0.26396118197275875</v>
      </c>
      <c r="O51" s="440">
        <f t="shared" si="2"/>
        <v>6.9675505588455866E-2</v>
      </c>
      <c r="P51" s="465">
        <f t="shared" si="3"/>
        <v>13.912278676733623</v>
      </c>
      <c r="Q51" s="440">
        <f t="shared" si="19"/>
        <v>13.317573131429548</v>
      </c>
      <c r="R51" s="440">
        <f>$P51+SQRT(ln13xln12!$O$64)*$Q$64</f>
        <v>14.389039007868872</v>
      </c>
      <c r="S51" s="466">
        <f t="shared" si="6"/>
        <v>332770.22153587034</v>
      </c>
      <c r="T51" s="440">
        <f t="shared" si="7"/>
        <v>110736020341.03223</v>
      </c>
      <c r="U51" s="466">
        <f t="shared" si="8"/>
        <v>1101604.9025021926</v>
      </c>
      <c r="V51" s="467">
        <f t="shared" si="9"/>
        <v>607782.96479888819</v>
      </c>
      <c r="W51" s="467">
        <f t="shared" si="10"/>
        <v>1774517.3135263885</v>
      </c>
      <c r="X51" s="468">
        <f t="shared" si="11"/>
        <v>-0.23199664854689703</v>
      </c>
      <c r="Y51" s="468">
        <f t="shared" si="12"/>
        <v>0.23199664854689703</v>
      </c>
      <c r="Z51" s="471">
        <f t="shared" si="13"/>
        <v>11.489160711917497</v>
      </c>
      <c r="AA51" s="480">
        <f t="shared" si="14"/>
        <v>13.919796643816273</v>
      </c>
      <c r="AB51" s="441">
        <f t="shared" si="15"/>
        <v>14.176239858706381</v>
      </c>
      <c r="AC51" s="976" t="s">
        <v>351</v>
      </c>
      <c r="AD51" s="435">
        <f t="shared" si="17"/>
        <v>13.325091098512198</v>
      </c>
      <c r="AE51" s="441">
        <f t="shared" si="18"/>
        <v>14.514502189120348</v>
      </c>
      <c r="AH51" s="54"/>
      <c r="AI51" s="11"/>
    </row>
    <row r="52" spans="1:35">
      <c r="A52" s="134">
        <v>2001</v>
      </c>
      <c r="B52" s="440">
        <f t="shared" si="0"/>
        <v>2006</v>
      </c>
      <c r="C52" s="458">
        <f>VLOOKUP($A52,'Brd Tbl'!$A$8:$AX$64,12)</f>
        <v>11.792349508205923</v>
      </c>
      <c r="D52" s="458">
        <f>VLOOKUP($A52,'Brd Tbl'!$A$8:$AX$64,23)</f>
        <v>14.202399903364208</v>
      </c>
      <c r="E52" s="7">
        <v>47</v>
      </c>
      <c r="F52" s="7">
        <v>45</v>
      </c>
      <c r="G52" s="576">
        <v>12.467112035539971</v>
      </c>
      <c r="H52" s="576">
        <v>0.12575717946302875</v>
      </c>
      <c r="I52" s="579">
        <v>4.4866540439726564E-2</v>
      </c>
      <c r="J52" s="7">
        <v>13.950084648934183</v>
      </c>
      <c r="K52" s="7">
        <v>0.45581502856559591</v>
      </c>
      <c r="L52" s="7">
        <v>0.14863575780339261</v>
      </c>
      <c r="M52" s="576">
        <v>0.21909901364837039</v>
      </c>
      <c r="N52" s="440">
        <f t="shared" si="1"/>
        <v>0.25231525443002489</v>
      </c>
      <c r="O52" s="440">
        <f t="shared" si="2"/>
        <v>6.3662987618088196E-2</v>
      </c>
      <c r="P52" s="465">
        <f t="shared" si="3"/>
        <v>13.950084648934183</v>
      </c>
      <c r="Q52" s="440">
        <f t="shared" si="19"/>
        <v>13.355379103630108</v>
      </c>
      <c r="R52" s="440">
        <f>$P52+SQRT(ln13xln12!$O$64)*$Q$64</f>
        <v>14.426844980069433</v>
      </c>
      <c r="S52" s="466">
        <f t="shared" si="6"/>
        <v>328344.13554502069</v>
      </c>
      <c r="T52" s="440">
        <f t="shared" si="7"/>
        <v>107809871346.80692</v>
      </c>
      <c r="U52" s="466">
        <f t="shared" si="8"/>
        <v>1144049.4195934809</v>
      </c>
      <c r="V52" s="467">
        <f t="shared" si="9"/>
        <v>631200.66598976403</v>
      </c>
      <c r="W52" s="467">
        <f t="shared" si="10"/>
        <v>1842888.9504641679</v>
      </c>
      <c r="X52" s="468">
        <f t="shared" si="11"/>
        <v>-0.22300025315862973</v>
      </c>
      <c r="Y52" s="468">
        <f t="shared" si="12"/>
        <v>0.22300025315862973</v>
      </c>
      <c r="Z52" s="471">
        <f t="shared" si="13"/>
        <v>11.792349508205923</v>
      </c>
      <c r="AA52" s="480">
        <f t="shared" si="14"/>
        <v>13.958800270572233</v>
      </c>
      <c r="AB52" s="441">
        <f t="shared" si="15"/>
        <v>14.202399903364208</v>
      </c>
      <c r="AC52" s="976" t="s">
        <v>361</v>
      </c>
      <c r="AD52" s="435">
        <f t="shared" si="17"/>
        <v>13.364094725268158</v>
      </c>
      <c r="AE52" s="441">
        <f t="shared" si="18"/>
        <v>14.553505815876308</v>
      </c>
      <c r="AH52" s="54"/>
      <c r="AI52" s="11"/>
    </row>
    <row r="53" spans="1:35">
      <c r="A53" s="134">
        <v>2002</v>
      </c>
      <c r="B53" s="440">
        <f t="shared" si="0"/>
        <v>2007</v>
      </c>
      <c r="C53" s="458">
        <f>VLOOKUP($A53,'Brd Tbl'!$A$8:$AX$64,12)</f>
        <v>11.090258885682895</v>
      </c>
      <c r="D53" s="458">
        <f>VLOOKUP($A53,'Brd Tbl'!$A$8:$AX$64,23)</f>
        <v>14.640443886698622</v>
      </c>
      <c r="E53" s="7">
        <v>47</v>
      </c>
      <c r="F53" s="7">
        <v>45</v>
      </c>
      <c r="G53" s="576">
        <v>12.46497301165695</v>
      </c>
      <c r="H53" s="576">
        <v>0.1249011936939874</v>
      </c>
      <c r="I53" s="579">
        <v>4.3276443569891423E-2</v>
      </c>
      <c r="J53" s="7">
        <v>13.850159584854094</v>
      </c>
      <c r="K53" s="7">
        <v>0.44223983712498111</v>
      </c>
      <c r="L53" s="7">
        <v>0.15619272521344227</v>
      </c>
      <c r="M53" s="576">
        <v>0.2071652627946724</v>
      </c>
      <c r="N53" s="440">
        <f t="shared" si="1"/>
        <v>0.7902843018445278</v>
      </c>
      <c r="O53" s="440">
        <f t="shared" si="2"/>
        <v>0.62454927774189273</v>
      </c>
      <c r="P53" s="465">
        <f t="shared" si="3"/>
        <v>13.850159584854094</v>
      </c>
      <c r="Q53" s="440">
        <f t="shared" si="19"/>
        <v>13.255454039550019</v>
      </c>
      <c r="R53" s="440">
        <f>$P53+SQRT(ln13xln12!$O$64)*$Q$64</f>
        <v>14.326919915989343</v>
      </c>
      <c r="S53" s="466">
        <f t="shared" si="6"/>
        <v>1246472.3366151261</v>
      </c>
      <c r="T53" s="440">
        <f t="shared" si="7"/>
        <v>1553693285946.7722</v>
      </c>
      <c r="U53" s="466">
        <f t="shared" si="8"/>
        <v>1035256.2979069179</v>
      </c>
      <c r="V53" s="467">
        <f t="shared" si="9"/>
        <v>571176.78093061608</v>
      </c>
      <c r="W53" s="467">
        <f t="shared" si="10"/>
        <v>1667639.8411084611</v>
      </c>
      <c r="X53" s="468">
        <f t="shared" si="11"/>
        <v>-0.54628421529023141</v>
      </c>
      <c r="Y53" s="468">
        <f t="shared" si="12"/>
        <v>0.54628421529023141</v>
      </c>
      <c r="Z53" s="471">
        <f t="shared" si="13"/>
        <v>11.090258885682895</v>
      </c>
      <c r="AA53" s="480">
        <f t="shared" si="14"/>
        <v>13.868480044610793</v>
      </c>
      <c r="AB53" s="441">
        <f t="shared" si="15"/>
        <v>14.640443886698622</v>
      </c>
      <c r="AC53" s="976" t="s">
        <v>362</v>
      </c>
      <c r="AD53" s="435">
        <f t="shared" si="17"/>
        <v>13.273774499306718</v>
      </c>
      <c r="AE53" s="441">
        <f t="shared" si="18"/>
        <v>14.463185589914868</v>
      </c>
      <c r="AH53" s="54"/>
      <c r="AI53" s="11"/>
    </row>
    <row r="54" spans="1:35">
      <c r="A54" s="134">
        <v>2003</v>
      </c>
      <c r="B54" s="440">
        <f t="shared" si="0"/>
        <v>2008</v>
      </c>
      <c r="C54" s="458">
        <f>VLOOKUP($A54,'Brd Tbl'!$A$8:$AX$64,12)</f>
        <v>11.377305266840285</v>
      </c>
      <c r="D54" s="458">
        <f>VLOOKUP($A54,'Brd Tbl'!$A$8:$AX$64,23)</f>
        <v>13.587551950740307</v>
      </c>
      <c r="E54" s="7">
        <v>47</v>
      </c>
      <c r="F54" s="7">
        <v>45</v>
      </c>
      <c r="G54" s="576">
        <v>12.422704471309173</v>
      </c>
      <c r="H54" s="576">
        <v>0.13108713066016248</v>
      </c>
      <c r="I54" s="579">
        <v>4.4583862700410232E-2</v>
      </c>
      <c r="J54" s="7">
        <v>13.914122773384019</v>
      </c>
      <c r="K54" s="7">
        <v>0.45478180406293944</v>
      </c>
      <c r="L54" s="7">
        <v>0.16115193445870396</v>
      </c>
      <c r="M54" s="576">
        <v>0.21818442823168735</v>
      </c>
      <c r="N54" s="798">
        <f t="shared" si="1"/>
        <v>-0.32657082264371162</v>
      </c>
      <c r="O54" s="440">
        <f t="shared" si="2"/>
        <v>0.10664850220219055</v>
      </c>
      <c r="P54" s="465">
        <f t="shared" si="3"/>
        <v>13.914122773384019</v>
      </c>
      <c r="Q54" s="440">
        <f t="shared" si="19"/>
        <v>13.319417228079944</v>
      </c>
      <c r="R54" s="440">
        <f>$P54+SQRT(ln13xln12!$O$64)*$Q$64</f>
        <v>14.390883104519268</v>
      </c>
      <c r="S54" s="466">
        <f t="shared" si="6"/>
        <v>-307481.02836395777</v>
      </c>
      <c r="T54" s="440">
        <f t="shared" si="7"/>
        <v>94544582803.757004</v>
      </c>
      <c r="U54" s="466">
        <f t="shared" si="8"/>
        <v>1103638.2426746273</v>
      </c>
      <c r="V54" s="467">
        <f t="shared" si="9"/>
        <v>608904.80940546177</v>
      </c>
      <c r="W54" s="467">
        <f t="shared" si="10"/>
        <v>1777792.714109736</v>
      </c>
      <c r="X54" s="468">
        <f t="shared" si="11"/>
        <v>0.3862064210900627</v>
      </c>
      <c r="Y54" s="468">
        <f t="shared" si="12"/>
        <v>0.3862064210900627</v>
      </c>
      <c r="Z54" s="471">
        <f t="shared" si="13"/>
        <v>11.377305266840285</v>
      </c>
      <c r="AA54" s="480">
        <f t="shared" si="14"/>
        <v>13.905407035480406</v>
      </c>
      <c r="AB54" s="441">
        <f t="shared" si="15"/>
        <v>13.587551950740307</v>
      </c>
      <c r="AC54" s="976" t="s">
        <v>363</v>
      </c>
      <c r="AD54" s="435">
        <f t="shared" si="17"/>
        <v>13.310701490176331</v>
      </c>
      <c r="AE54" s="441">
        <f t="shared" si="18"/>
        <v>14.500112580784482</v>
      </c>
      <c r="AH54" s="54"/>
      <c r="AI54" s="11"/>
    </row>
    <row r="55" spans="1:35">
      <c r="A55" s="134">
        <v>2004</v>
      </c>
      <c r="B55" s="440">
        <f t="shared" si="0"/>
        <v>2009</v>
      </c>
      <c r="C55" s="458">
        <f>VLOOKUP($A55,'Brd Tbl'!$A$8:$AX$64,12)</f>
        <v>9.6464942455516205</v>
      </c>
      <c r="D55" s="458">
        <f>VLOOKUP($A55,'Brd Tbl'!$A$8:$AX$64,23)</f>
        <v>13.754121868260308</v>
      </c>
      <c r="E55" s="7">
        <v>47</v>
      </c>
      <c r="F55" s="7">
        <v>45</v>
      </c>
      <c r="G55" s="576">
        <v>12.433190091252026</v>
      </c>
      <c r="H55" s="576">
        <v>0.12931060754531548</v>
      </c>
      <c r="I55" s="579">
        <v>4.4882244714817776E-2</v>
      </c>
      <c r="J55" s="7">
        <v>13.680584122826696</v>
      </c>
      <c r="K55" s="7">
        <v>0.45718329652056505</v>
      </c>
      <c r="L55" s="7">
        <v>0.1557347608719831</v>
      </c>
      <c r="M55" s="576">
        <v>0.22033848572527737</v>
      </c>
      <c r="N55" s="798">
        <f t="shared" si="1"/>
        <v>7.353774543361169E-2</v>
      </c>
      <c r="O55" s="440">
        <f t="shared" si="2"/>
        <v>5.4078000034586769E-3</v>
      </c>
      <c r="P55" s="465">
        <f t="shared" si="3"/>
        <v>13.680584122826696</v>
      </c>
      <c r="Q55" s="440">
        <f t="shared" si="19"/>
        <v>13.085878577522621</v>
      </c>
      <c r="R55" s="440">
        <f>$P55+SQRT(ln13xln12!$O$64)*$Q$64</f>
        <v>14.157344453961946</v>
      </c>
      <c r="S55" s="466">
        <f t="shared" si="6"/>
        <v>66677.433686774457</v>
      </c>
      <c r="T55" s="440">
        <f t="shared" si="7"/>
        <v>4445880163.0542049</v>
      </c>
      <c r="U55" s="466">
        <f t="shared" si="8"/>
        <v>873780.18884311465</v>
      </c>
      <c r="V55" s="467">
        <f t="shared" si="9"/>
        <v>482086.37466239271</v>
      </c>
      <c r="W55" s="467">
        <f t="shared" si="10"/>
        <v>1407526.482313724</v>
      </c>
      <c r="X55" s="468">
        <f t="shared" si="11"/>
        <v>-7.0898924193317767E-2</v>
      </c>
      <c r="Y55" s="468">
        <f t="shared" si="12"/>
        <v>7.0898924193317767E-2</v>
      </c>
      <c r="Z55" s="471">
        <f t="shared" si="13"/>
        <v>9.6464942455516205</v>
      </c>
      <c r="AA55" s="480">
        <f t="shared" si="14"/>
        <v>13.68274739935314</v>
      </c>
      <c r="AB55" s="441">
        <f t="shared" si="15"/>
        <v>13.754121868260308</v>
      </c>
      <c r="AC55" s="976" t="s">
        <v>363</v>
      </c>
      <c r="AD55" s="435">
        <f t="shared" si="17"/>
        <v>13.088041854049065</v>
      </c>
      <c r="AE55" s="441">
        <f t="shared" si="18"/>
        <v>14.277452944657215</v>
      </c>
      <c r="AH55" s="54"/>
      <c r="AI55" s="11"/>
    </row>
    <row r="56" spans="1:35">
      <c r="A56" s="134">
        <v>2005</v>
      </c>
      <c r="B56" s="440">
        <f t="shared" si="0"/>
        <v>2010</v>
      </c>
      <c r="C56" s="458">
        <f>VLOOKUP($A56,'Brd Tbl'!$A$8:$AX$64,12)</f>
        <v>10.693310040674076</v>
      </c>
      <c r="D56" s="458">
        <f>VLOOKUP($A56,'Brd Tbl'!$A$8:$AX$64,23)</f>
        <v>13.501477075906118</v>
      </c>
      <c r="E56" s="7">
        <v>47</v>
      </c>
      <c r="F56" s="7">
        <v>45</v>
      </c>
      <c r="G56" s="576">
        <v>12.445269924282044</v>
      </c>
      <c r="H56" s="576">
        <v>0.12894956071550492</v>
      </c>
      <c r="I56" s="579">
        <v>4.4456902973663677E-2</v>
      </c>
      <c r="J56" s="7">
        <v>13.824167556621665</v>
      </c>
      <c r="K56" s="7">
        <v>0.45482705274795771</v>
      </c>
      <c r="L56" s="7">
        <v>0.15751166025489158</v>
      </c>
      <c r="M56" s="576">
        <v>0.21823803154780994</v>
      </c>
      <c r="N56" s="798">
        <f t="shared" si="1"/>
        <v>-0.32269048071554707</v>
      </c>
      <c r="O56" s="440">
        <f t="shared" si="2"/>
        <v>0.10412914634443085</v>
      </c>
      <c r="P56" s="465">
        <f t="shared" si="3"/>
        <v>13.824167556621665</v>
      </c>
      <c r="Q56" s="440">
        <f t="shared" si="19"/>
        <v>13.22946201131759</v>
      </c>
      <c r="R56" s="440">
        <f>$P56+SQRT(ln13xln12!$O$64)*$Q$64</f>
        <v>14.300927887756915</v>
      </c>
      <c r="S56" s="466">
        <f t="shared" si="6"/>
        <v>-278200.0095475323</v>
      </c>
      <c r="T56" s="440">
        <f t="shared" si="7"/>
        <v>77395245312.24707</v>
      </c>
      <c r="U56" s="466">
        <f t="shared" si="8"/>
        <v>1008694.5788358414</v>
      </c>
      <c r="V56" s="467">
        <f t="shared" si="9"/>
        <v>556522.01647694944</v>
      </c>
      <c r="W56" s="467">
        <f t="shared" si="10"/>
        <v>1624852.9669200946</v>
      </c>
      <c r="X56" s="468">
        <f t="shared" si="11"/>
        <v>0.38083788879987318</v>
      </c>
      <c r="Y56" s="468">
        <f t="shared" si="12"/>
        <v>0.38083788879987318</v>
      </c>
      <c r="Z56" s="471">
        <f t="shared" si="13"/>
        <v>10.693310040674076</v>
      </c>
      <c r="AA56" s="480">
        <f t="shared" si="14"/>
        <v>13.817414686057091</v>
      </c>
      <c r="AB56" s="441">
        <f t="shared" si="15"/>
        <v>13.501477075906118</v>
      </c>
      <c r="AC56" s="976" t="s">
        <v>363</v>
      </c>
      <c r="AD56" s="435">
        <f t="shared" si="17"/>
        <v>13.222709140753016</v>
      </c>
      <c r="AE56" s="441">
        <f t="shared" si="18"/>
        <v>14.412120231361166</v>
      </c>
      <c r="AH56" s="54"/>
      <c r="AI56" s="11"/>
    </row>
    <row r="57" spans="1:35">
      <c r="A57" s="134">
        <v>2006</v>
      </c>
      <c r="B57" s="440">
        <f t="shared" si="0"/>
        <v>2011</v>
      </c>
      <c r="C57" s="458">
        <f>VLOOKUP($A57,'Brd Tbl'!$A$8:$AX$64,12)</f>
        <v>9.8704379869059142</v>
      </c>
      <c r="D57" s="458">
        <f>VLOOKUP($A57,'Brd Tbl'!$A$8:$AX$64,23)</f>
        <v>14.421147248530623</v>
      </c>
      <c r="E57" s="7">
        <v>47</v>
      </c>
      <c r="F57" s="7">
        <v>45</v>
      </c>
      <c r="G57" s="576">
        <v>12.373228992218694</v>
      </c>
      <c r="H57" s="576">
        <v>0.13368252236548206</v>
      </c>
      <c r="I57" s="579">
        <v>4.3564293040496499E-2</v>
      </c>
      <c r="J57" s="7">
        <v>13.692734039160348</v>
      </c>
      <c r="K57" s="7">
        <v>0.44457517781004396</v>
      </c>
      <c r="L57" s="7">
        <v>0.17304441669743084</v>
      </c>
      <c r="M57" s="576">
        <v>0.2091644856490722</v>
      </c>
      <c r="N57" s="798">
        <f t="shared" si="1"/>
        <v>0.72841320937027554</v>
      </c>
      <c r="O57" s="440">
        <f t="shared" si="2"/>
        <v>0.53058580358510488</v>
      </c>
      <c r="P57" s="465">
        <f t="shared" si="3"/>
        <v>13.692734039160348</v>
      </c>
      <c r="Q57" s="440">
        <f t="shared" si="19"/>
        <v>13.098028493856273</v>
      </c>
      <c r="R57" s="440">
        <f>$P57+SQRT(ln13xln12!$O$64)*$Q$64</f>
        <v>14.169494370295597</v>
      </c>
      <c r="S57" s="466">
        <f t="shared" si="6"/>
        <v>947957.22019719984</v>
      </c>
      <c r="T57" s="440">
        <f t="shared" si="7"/>
        <v>898622891324.00244</v>
      </c>
      <c r="U57" s="466">
        <f t="shared" si="8"/>
        <v>884461.30094518303</v>
      </c>
      <c r="V57" s="467">
        <f t="shared" si="9"/>
        <v>487979.4112365754</v>
      </c>
      <c r="W57" s="467">
        <f t="shared" si="10"/>
        <v>1424732.1232016548</v>
      </c>
      <c r="X57" s="468">
        <f t="shared" si="11"/>
        <v>-0.51732571421850493</v>
      </c>
      <c r="Y57" s="468">
        <f t="shared" si="12"/>
        <v>0.51732571421850493</v>
      </c>
      <c r="Z57" s="471">
        <f t="shared" si="13"/>
        <v>9.8704379869059142</v>
      </c>
      <c r="AA57" s="480">
        <f t="shared" si="14"/>
        <v>13.711556571093796</v>
      </c>
      <c r="AB57" s="441">
        <f t="shared" si="15"/>
        <v>14.421147248530623</v>
      </c>
      <c r="AC57" s="976" t="s">
        <v>363</v>
      </c>
      <c r="AD57" s="435">
        <f t="shared" si="17"/>
        <v>13.116851025789721</v>
      </c>
      <c r="AE57" s="441">
        <f t="shared" si="18"/>
        <v>14.306262116397871</v>
      </c>
      <c r="AH57" s="54"/>
      <c r="AI57" s="11"/>
    </row>
    <row r="58" spans="1:35">
      <c r="A58" s="134">
        <v>2007</v>
      </c>
      <c r="B58" s="440">
        <f t="shared" si="0"/>
        <v>2012</v>
      </c>
      <c r="C58" s="458">
        <f>VLOOKUP($A58,'Brd Tbl'!$A$8:$AX$64,12)</f>
        <v>11.385840386620675</v>
      </c>
      <c r="D58" s="458">
        <f>VLOOKUP($A58,'Brd Tbl'!$A$8:$AX$64,23)</f>
        <v>14.547533233630642</v>
      </c>
      <c r="E58" s="7">
        <v>47</v>
      </c>
      <c r="F58" s="7">
        <v>45</v>
      </c>
      <c r="G58" s="576">
        <v>12.480815837318932</v>
      </c>
      <c r="H58" s="576">
        <v>0.12366456734998425</v>
      </c>
      <c r="I58" s="579">
        <v>4.3817413644254184E-2</v>
      </c>
      <c r="J58" s="7">
        <v>13.888840862646354</v>
      </c>
      <c r="K58" s="7">
        <v>0.4469340948218683</v>
      </c>
      <c r="L58" s="7">
        <v>0.1503856541150887</v>
      </c>
      <c r="M58" s="576">
        <v>0.21122214871273609</v>
      </c>
      <c r="N58" s="798">
        <f t="shared" si="1"/>
        <v>0.65869237098428712</v>
      </c>
      <c r="O58" s="440">
        <f t="shared" si="2"/>
        <v>0.43387563959290176</v>
      </c>
      <c r="P58" s="465">
        <f t="shared" si="3"/>
        <v>13.888840862646354</v>
      </c>
      <c r="Q58" s="440">
        <f t="shared" si="19"/>
        <v>13.294135317342279</v>
      </c>
      <c r="R58" s="440">
        <f>$P58+SQRT(ln13xln12!$O$64)*$Q$64</f>
        <v>14.365601193781604</v>
      </c>
      <c r="S58" s="466">
        <f t="shared" si="6"/>
        <v>1003196.15595489</v>
      </c>
      <c r="T58" s="440">
        <f t="shared" si="7"/>
        <v>1006402527322.6678</v>
      </c>
      <c r="U58" s="466">
        <f t="shared" si="8"/>
        <v>1076085.9144359017</v>
      </c>
      <c r="V58" s="467">
        <f t="shared" si="9"/>
        <v>593703.5011088046</v>
      </c>
      <c r="W58" s="467">
        <f t="shared" si="10"/>
        <v>1733410.1197907322</v>
      </c>
      <c r="X58" s="468">
        <f t="shared" si="11"/>
        <v>-0.48247237363343581</v>
      </c>
      <c r="Y58" s="468">
        <f t="shared" si="12"/>
        <v>0.48247237363343581</v>
      </c>
      <c r="Z58" s="471">
        <f t="shared" si="13"/>
        <v>11.385840386620675</v>
      </c>
      <c r="AA58" s="480">
        <f t="shared" si="14"/>
        <v>13.906505033263659</v>
      </c>
      <c r="AB58" s="441">
        <f t="shared" si="15"/>
        <v>14.547533233630642</v>
      </c>
      <c r="AC58" s="976" t="s">
        <v>363</v>
      </c>
      <c r="AD58" s="435">
        <f t="shared" si="17"/>
        <v>13.311799487959584</v>
      </c>
      <c r="AE58" s="441">
        <f t="shared" si="18"/>
        <v>14.501210578567735</v>
      </c>
      <c r="AH58" s="54"/>
      <c r="AI58" s="11"/>
    </row>
    <row r="59" spans="1:35">
      <c r="A59" s="134">
        <v>2008</v>
      </c>
      <c r="B59" s="440">
        <f t="shared" si="0"/>
        <v>2013</v>
      </c>
      <c r="C59" s="458">
        <f>VLOOKUP($A59,'Brd Tbl'!$A$8:$AX$64,12)</f>
        <v>11.100218577949152</v>
      </c>
      <c r="D59" s="458">
        <f>VLOOKUP($A59,'Brd Tbl'!$A$8:$AX$64,23)</f>
        <v>14.206228091770475</v>
      </c>
      <c r="E59" s="7">
        <v>47</v>
      </c>
      <c r="F59" s="7">
        <v>45</v>
      </c>
      <c r="G59" s="576">
        <v>12.452235518155483</v>
      </c>
      <c r="H59" s="576">
        <v>0.12698011712155108</v>
      </c>
      <c r="I59" s="579">
        <v>4.4476985545657599E-2</v>
      </c>
      <c r="J59" s="7">
        <v>13.861742573258283</v>
      </c>
      <c r="K59" s="7">
        <v>0.45448594355905791</v>
      </c>
      <c r="L59" s="7">
        <v>0.15335250382337745</v>
      </c>
      <c r="M59" s="576">
        <v>0.2179286458856784</v>
      </c>
      <c r="N59" s="798">
        <f t="shared" si="1"/>
        <v>0.344485518512192</v>
      </c>
      <c r="O59" s="440">
        <f t="shared" si="2"/>
        <v>0.11867027246461377</v>
      </c>
      <c r="P59" s="465">
        <f t="shared" si="3"/>
        <v>13.861742573258283</v>
      </c>
      <c r="Q59" s="440">
        <f t="shared" si="19"/>
        <v>13.267037027954208</v>
      </c>
      <c r="R59" s="440">
        <f>$P59+SQRT(ln13xln12!$O$64)*$Q$64</f>
        <v>14.338502904393533</v>
      </c>
      <c r="S59" s="466">
        <f t="shared" si="6"/>
        <v>430723.58142061031</v>
      </c>
      <c r="T59" s="440">
        <f t="shared" si="7"/>
        <v>185522803591.79712</v>
      </c>
      <c r="U59" s="466">
        <f t="shared" si="8"/>
        <v>1047317.3764190063</v>
      </c>
      <c r="V59" s="467">
        <f t="shared" si="9"/>
        <v>577831.17947232432</v>
      </c>
      <c r="W59" s="467">
        <f t="shared" si="10"/>
        <v>1687068.3972004757</v>
      </c>
      <c r="X59" s="468">
        <f t="shared" si="11"/>
        <v>-0.29141518652512771</v>
      </c>
      <c r="Y59" s="468">
        <f t="shared" si="12"/>
        <v>0.29141518652512771</v>
      </c>
      <c r="Z59" s="471">
        <f t="shared" si="13"/>
        <v>11.100218577949152</v>
      </c>
      <c r="AA59" s="480">
        <f t="shared" si="14"/>
        <v>13.869761306070691</v>
      </c>
      <c r="AB59" s="441">
        <f t="shared" si="15"/>
        <v>14.206228091770475</v>
      </c>
      <c r="AC59" s="976" t="s">
        <v>363</v>
      </c>
      <c r="AD59" s="435">
        <f t="shared" si="17"/>
        <v>13.275055760766616</v>
      </c>
      <c r="AE59" s="441">
        <f t="shared" si="18"/>
        <v>14.464466851374766</v>
      </c>
      <c r="AH59" s="54"/>
      <c r="AI59" s="11"/>
    </row>
    <row r="60" spans="1:35">
      <c r="A60" s="134">
        <v>2009</v>
      </c>
      <c r="B60" s="440">
        <f t="shared" si="0"/>
        <v>2014</v>
      </c>
      <c r="C60" s="458">
        <f>VLOOKUP($A60,'Brd Tbl'!$A$8:$AX$64,12)</f>
        <v>9.9927829021427534</v>
      </c>
      <c r="D60" s="458">
        <f>VLOOKUP($A60,'Brd Tbl'!$A$8:$AX$64,23)</f>
        <v>14.444629537743996</v>
      </c>
      <c r="E60" s="7">
        <v>47</v>
      </c>
      <c r="F60" s="7">
        <v>45</v>
      </c>
      <c r="G60" s="576">
        <v>12.381694505622926</v>
      </c>
      <c r="H60" s="576">
        <v>0.1328701363593543</v>
      </c>
      <c r="I60" s="579">
        <v>4.3503980983869393E-2</v>
      </c>
      <c r="J60" s="7">
        <v>13.709436932440058</v>
      </c>
      <c r="K60" s="7">
        <v>0.44431259277259122</v>
      </c>
      <c r="L60" s="7">
        <v>0.17170052821708298</v>
      </c>
      <c r="M60" s="578">
        <v>0.20895337153612567</v>
      </c>
      <c r="N60" s="475">
        <f t="shared" si="1"/>
        <v>0.73519260530393815</v>
      </c>
      <c r="O60" s="440">
        <f t="shared" si="2"/>
        <v>0.54050816689359216</v>
      </c>
      <c r="P60" s="465">
        <f t="shared" si="3"/>
        <v>13.709436932440058</v>
      </c>
      <c r="Q60" s="440">
        <f t="shared" si="19"/>
        <v>13.114731387135983</v>
      </c>
      <c r="R60" s="440">
        <f>$P60+SQRT(ln13xln12!$O$64)*$Q$64</f>
        <v>14.186197263575307</v>
      </c>
      <c r="S60" s="466">
        <f>EXP(D60)-$E$60</f>
        <v>1875910.0948617517</v>
      </c>
      <c r="T60" s="440">
        <f t="shared" si="7"/>
        <v>3519038684004.2261</v>
      </c>
      <c r="U60" s="466">
        <f t="shared" si="8"/>
        <v>899358.42990242015</v>
      </c>
      <c r="V60" s="467">
        <f t="shared" si="9"/>
        <v>496198.52971004549</v>
      </c>
      <c r="W60" s="467">
        <f t="shared" si="10"/>
        <v>1448729.1235748443</v>
      </c>
      <c r="X60" s="468">
        <f t="shared" si="11"/>
        <v>-0.5205868874262829</v>
      </c>
      <c r="Y60" s="468">
        <f t="shared" si="12"/>
        <v>0.5205868874262829</v>
      </c>
      <c r="Z60" s="471">
        <f t="shared" si="13"/>
        <v>9.9927829021427534</v>
      </c>
      <c r="AA60" s="480">
        <f t="shared" si="14"/>
        <v>13.727295593999008</v>
      </c>
      <c r="AB60" s="441">
        <f t="shared" si="15"/>
        <v>14.444629537743996</v>
      </c>
      <c r="AC60" s="976" t="s">
        <v>476</v>
      </c>
      <c r="AD60" s="435">
        <f t="shared" si="17"/>
        <v>13.132590048694933</v>
      </c>
      <c r="AE60" s="441">
        <f t="shared" si="18"/>
        <v>14.322001139303083</v>
      </c>
      <c r="AH60" s="54"/>
      <c r="AI60" s="11"/>
    </row>
    <row r="61" spans="1:35">
      <c r="A61" s="134"/>
      <c r="E61" s="15"/>
      <c r="F61" s="15"/>
      <c r="G61" s="168"/>
      <c r="H61" s="15"/>
      <c r="I61" s="246"/>
      <c r="J61" s="15"/>
      <c r="K61" s="15"/>
      <c r="L61" s="15"/>
      <c r="M61" s="146"/>
      <c r="V61" s="2"/>
      <c r="W61" s="2"/>
      <c r="X61" s="47"/>
      <c r="Y61" s="468"/>
      <c r="Z61" s="139"/>
      <c r="AA61" s="139"/>
      <c r="AB61" s="139"/>
      <c r="AC61" s="800"/>
      <c r="AD61" s="23"/>
      <c r="AE61" s="47"/>
    </row>
    <row r="62" spans="1:35">
      <c r="A62" s="134">
        <v>2010</v>
      </c>
      <c r="B62" s="440">
        <f>A62+5</f>
        <v>2015</v>
      </c>
      <c r="C62" s="458">
        <f>VLOOKUP($A62,'Brd Tbl'!$A$8:$AX$64,12)</f>
        <v>9.5093676168778956</v>
      </c>
      <c r="D62" s="10"/>
      <c r="E62" s="7">
        <v>48</v>
      </c>
      <c r="F62" s="7">
        <v>46</v>
      </c>
      <c r="G62" s="576">
        <v>12.441777199718576</v>
      </c>
      <c r="H62" s="576">
        <v>0.12864468355504635</v>
      </c>
      <c r="I62" s="579">
        <v>4.4209034583891096E-2</v>
      </c>
      <c r="J62" s="7">
        <v>13.665106787600438</v>
      </c>
      <c r="K62" s="7">
        <v>0.45231275768827794</v>
      </c>
      <c r="L62" s="7">
        <v>0.15546161818930698</v>
      </c>
      <c r="M62" s="576">
        <v>0.21586076310607286</v>
      </c>
      <c r="N62" s="470">
        <f>D62-$E$62</f>
        <v>-48</v>
      </c>
      <c r="O62" s="440">
        <f>N62^2</f>
        <v>2304</v>
      </c>
      <c r="P62" s="465">
        <f>J62</f>
        <v>13.665106787600438</v>
      </c>
      <c r="Q62" s="440">
        <f>$P62-(SQRT(O65)*Q65)</f>
        <v>13.060651542363786</v>
      </c>
      <c r="R62" s="440">
        <f>$P62+SQRT(O65)*Q65</f>
        <v>14.26956203283709</v>
      </c>
      <c r="S62" s="466">
        <f>EXP(D62)-$E$62</f>
        <v>-47</v>
      </c>
      <c r="T62" s="479">
        <f>S62^2</f>
        <v>2209</v>
      </c>
      <c r="U62" s="485">
        <f>EXP(P62)</f>
        <v>860360.51820364676</v>
      </c>
      <c r="V62" s="899">
        <f>EXP(Q62)</f>
        <v>470076.88356614613</v>
      </c>
      <c r="W62" s="899">
        <f>EXP(R62)</f>
        <v>1574679.0517927874</v>
      </c>
      <c r="X62" s="169"/>
      <c r="Y62" s="227"/>
      <c r="Z62" s="471">
        <f>C62</f>
        <v>9.5093676168778956</v>
      </c>
      <c r="AA62" s="471">
        <f>(+G62+H62*C62)</f>
        <v>13.665106787600438</v>
      </c>
      <c r="AB62" s="139"/>
      <c r="AC62" s="799" t="s">
        <v>477</v>
      </c>
      <c r="AD62" s="435">
        <f>AA62-SQRT(O65)*Q65</f>
        <v>13.060651542363786</v>
      </c>
      <c r="AE62" s="441">
        <f>AA62+SQRT(O65)*Q65</f>
        <v>14.26956203283709</v>
      </c>
      <c r="AF62" s="440">
        <f>AA62</f>
        <v>13.665106787600438</v>
      </c>
    </row>
    <row r="63" spans="1:35">
      <c r="A63" s="26"/>
      <c r="B63" s="42"/>
      <c r="C63" s="42"/>
      <c r="D63" s="42"/>
      <c r="E63" s="42"/>
      <c r="F63" s="42"/>
      <c r="G63" s="141"/>
      <c r="H63" s="174"/>
      <c r="I63" s="42"/>
      <c r="J63" s="42"/>
      <c r="K63" s="42"/>
      <c r="L63" s="42"/>
      <c r="M63" s="180"/>
      <c r="N63" s="42"/>
      <c r="O63" s="42"/>
      <c r="P63" s="42"/>
      <c r="Q63" s="42"/>
      <c r="R63" s="42"/>
      <c r="S63" s="42"/>
      <c r="T63" s="42"/>
      <c r="U63" s="42"/>
      <c r="V63" s="105"/>
      <c r="W63" s="105"/>
      <c r="X63" s="49"/>
      <c r="Z63" s="27"/>
      <c r="AA63" s="49"/>
      <c r="AB63" s="49"/>
      <c r="AC63" s="49"/>
      <c r="AD63" s="42"/>
      <c r="AE63" s="49"/>
    </row>
    <row r="64" spans="1:35">
      <c r="A64" s="23"/>
      <c r="E64" s="54" t="s">
        <v>184</v>
      </c>
      <c r="F64" s="440">
        <f>F60</f>
        <v>45</v>
      </c>
      <c r="G64" s="127"/>
      <c r="H64" s="9"/>
      <c r="M64" s="224" t="s">
        <v>185</v>
      </c>
      <c r="O64" s="924">
        <f>AVERAGE(INDEX(O$13:O$61,COUNT(O$13:O$61)-1,0):INDEX(O$13:O$61,(COUNT(O$13:O$61)-(COUNT(O$13:O$61)-1)),0))</f>
        <v>0.20895337153612567</v>
      </c>
      <c r="P64" s="54" t="s">
        <v>186</v>
      </c>
      <c r="Q64" s="440">
        <f>VLOOKUP(F64,ttab!$A$4:$G$44,4)</f>
        <v>1.3009999999999999</v>
      </c>
      <c r="X64" s="47"/>
      <c r="Y64" s="227"/>
      <c r="Z64" s="23"/>
    </row>
    <row r="65" spans="1:26" ht="15.75">
      <c r="A65" s="23"/>
      <c r="E65" s="54" t="s">
        <v>184</v>
      </c>
      <c r="F65" s="440">
        <f>F62</f>
        <v>46</v>
      </c>
      <c r="G65" s="127"/>
      <c r="M65" s="224" t="s">
        <v>188</v>
      </c>
      <c r="O65" s="458">
        <f>AVERAGEA(O13:O61)</f>
        <v>0.21586076310607286</v>
      </c>
      <c r="P65" s="54" t="s">
        <v>186</v>
      </c>
      <c r="Q65" s="440">
        <f>VLOOKUP(F65,ttab!$A$4:$G$44,4)</f>
        <v>1.3009999999999999</v>
      </c>
      <c r="S65" s="54" t="s">
        <v>189</v>
      </c>
      <c r="T65" s="440">
        <f>AVERAGEA(T13:T61)</f>
        <v>291814632795.84845</v>
      </c>
      <c r="W65" t="s">
        <v>211</v>
      </c>
      <c r="X65" s="486">
        <f>AVERAGEA(X13:X61)</f>
        <v>0.11326093762241889</v>
      </c>
      <c r="Y65" s="516">
        <f>AVERAGEA(Y13:Y61)</f>
        <v>0.4003531124832318</v>
      </c>
      <c r="Z65" s="23"/>
    </row>
    <row r="66" spans="1:26">
      <c r="A66" s="42"/>
      <c r="B66" s="42"/>
      <c r="C66" s="42"/>
      <c r="D66" s="42"/>
      <c r="E66" s="42"/>
      <c r="F66" s="42"/>
      <c r="G66" s="141"/>
      <c r="H66" s="42"/>
      <c r="I66" s="42"/>
      <c r="J66" s="42"/>
      <c r="K66" s="42"/>
      <c r="L66" s="42"/>
      <c r="M66" s="180"/>
      <c r="N66" s="42"/>
      <c r="O66" s="42"/>
      <c r="P66" s="42"/>
      <c r="Q66" s="42"/>
      <c r="R66" s="42"/>
      <c r="S66" s="42"/>
      <c r="T66" s="42"/>
      <c r="U66" s="42"/>
      <c r="V66" s="42"/>
      <c r="W66" s="42"/>
      <c r="X66" s="49"/>
      <c r="Y66" s="227"/>
    </row>
    <row r="67" spans="1:26">
      <c r="G67" s="127"/>
    </row>
    <row r="68" spans="1:26">
      <c r="G68" s="127"/>
    </row>
    <row r="69" spans="1:26">
      <c r="G69" s="127"/>
    </row>
    <row r="70" spans="1:26">
      <c r="G70" s="127"/>
    </row>
    <row r="71" spans="1:26">
      <c r="G71" s="127"/>
    </row>
    <row r="72" spans="1:26">
      <c r="G72" s="127"/>
    </row>
    <row r="73" spans="1:26">
      <c r="G73" s="127"/>
    </row>
    <row r="74" spans="1:26">
      <c r="G74" s="127"/>
    </row>
    <row r="75" spans="1:26">
      <c r="G75" s="127"/>
    </row>
    <row r="76" spans="1:26">
      <c r="G76" s="127"/>
    </row>
    <row r="77" spans="1:26">
      <c r="G77" s="127"/>
    </row>
    <row r="78" spans="1:26">
      <c r="G78" s="127"/>
    </row>
    <row r="79" spans="1:26">
      <c r="G79" s="127"/>
    </row>
    <row r="80" spans="1:26">
      <c r="G80" s="127"/>
    </row>
    <row r="81" spans="7:7">
      <c r="G81" s="127"/>
    </row>
    <row r="82" spans="7:7">
      <c r="G82" s="127"/>
    </row>
    <row r="83" spans="7:7">
      <c r="G83" s="127"/>
    </row>
    <row r="84" spans="7:7">
      <c r="G84" s="127"/>
    </row>
    <row r="85" spans="7:7">
      <c r="G85" s="127"/>
    </row>
    <row r="86" spans="7:7">
      <c r="G86" s="127"/>
    </row>
    <row r="87" spans="7:7">
      <c r="G87" s="127"/>
    </row>
    <row r="88" spans="7:7">
      <c r="G88" s="127"/>
    </row>
  </sheetData>
  <sortState ref="A13:AE60">
    <sortCondition ref="B13"/>
  </sortState>
  <phoneticPr fontId="60" type="noConversion"/>
  <pageMargins left="0.55000000000000004" right="0.50800000000000001" top="0.5" bottom="1" header="0.5" footer="0.5"/>
  <pageSetup scale="37" orientation="portrait" horizontalDpi="300" verticalDpi="300" r:id="rId1"/>
  <headerFooter alignWithMargins="0"/>
  <drawing r:id="rId2"/>
  <legacyDrawing r:id="rId3"/>
  <controls>
    <mc:AlternateContent xmlns:mc="http://schemas.openxmlformats.org/markup-compatibility/2006">
      <mc:Choice Requires="x14">
        <control shapeId="10260" r:id="rId4" name="CommandButton1">
          <controlPr defaultSize="0" autoLine="0" r:id="rId5">
            <anchor moveWithCells="1">
              <from>
                <xdr:col>8</xdr:col>
                <xdr:colOff>542925</xdr:colOff>
                <xdr:row>1</xdr:row>
                <xdr:rowOff>171450</xdr:rowOff>
              </from>
              <to>
                <xdr:col>12</xdr:col>
                <xdr:colOff>466725</xdr:colOff>
                <xdr:row>6</xdr:row>
                <xdr:rowOff>9525</xdr:rowOff>
              </to>
            </anchor>
          </controlPr>
        </control>
      </mc:Choice>
      <mc:Fallback>
        <control shapeId="10260" r:id="rId4" name="CommandButton1"/>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12"/>
  <dimension ref="A1:AI69"/>
  <sheetViews>
    <sheetView topLeftCell="P10" zoomScale="75" workbookViewId="0">
      <selection activeCell="AD22" sqref="AD22"/>
    </sheetView>
  </sheetViews>
  <sheetFormatPr defaultColWidth="9.6640625" defaultRowHeight="15"/>
  <cols>
    <col min="1" max="1" width="5.6640625" customWidth="1"/>
    <col min="2" max="2" width="6.109375" customWidth="1"/>
    <col min="3" max="3" width="9.77734375" customWidth="1"/>
    <col min="4" max="4" width="10" bestFit="1" customWidth="1"/>
    <col min="5" max="5" width="4" customWidth="1"/>
    <col min="6" max="6" width="4.6640625" customWidth="1"/>
    <col min="7" max="7" width="11.88671875" customWidth="1"/>
    <col min="8" max="8" width="8.44140625" customWidth="1"/>
    <col min="9" max="9" width="12.33203125" bestFit="1" customWidth="1"/>
    <col min="13" max="13" width="15.77734375" customWidth="1"/>
    <col min="15" max="15" width="15.21875" customWidth="1"/>
    <col min="16" max="16" width="11.88671875" customWidth="1"/>
    <col min="17" max="17" width="10.77734375" customWidth="1"/>
    <col min="18" max="18" width="11.88671875" customWidth="1"/>
    <col min="19" max="19" width="8.77734375" customWidth="1"/>
    <col min="20" max="20" width="10.5546875" customWidth="1"/>
    <col min="21" max="21" width="9" customWidth="1"/>
    <col min="23" max="23" width="12.21875" customWidth="1"/>
    <col min="24" max="26" width="11.109375" customWidth="1"/>
    <col min="27" max="27" width="9" customWidth="1"/>
    <col min="29" max="29" width="12.33203125" bestFit="1" customWidth="1"/>
  </cols>
  <sheetData>
    <row r="1" spans="1:31">
      <c r="A1" t="s">
        <v>0</v>
      </c>
      <c r="B1" s="440" t="str">
        <f ca="1">CELL("filename",B2)</f>
        <v>O:\DCF\SALMON\FORECAST\2015\[2015_Copper River Wild Sockeye forecast_FINAL.xlsm]13 x 12</v>
      </c>
      <c r="G1" t="s">
        <v>206</v>
      </c>
      <c r="H1" s="127"/>
      <c r="M1" s="10"/>
    </row>
    <row r="2" spans="1:31">
      <c r="G2" s="148" t="s">
        <v>154</v>
      </c>
      <c r="H2" s="149" t="s">
        <v>208</v>
      </c>
      <c r="M2" s="10"/>
    </row>
    <row r="3" spans="1:31">
      <c r="G3" s="148" t="s">
        <v>155</v>
      </c>
      <c r="H3" s="149" t="s">
        <v>209</v>
      </c>
      <c r="M3" s="10"/>
    </row>
    <row r="4" spans="1:31">
      <c r="G4" s="54" t="s">
        <v>252</v>
      </c>
      <c r="H4" s="13">
        <v>5</v>
      </c>
      <c r="M4" s="10"/>
    </row>
    <row r="5" spans="1:31">
      <c r="B5" s="13"/>
      <c r="G5" s="127"/>
      <c r="M5" s="10"/>
    </row>
    <row r="6" spans="1:31">
      <c r="B6" s="13"/>
      <c r="G6" s="127"/>
      <c r="M6" s="10"/>
    </row>
    <row r="7" spans="1:31">
      <c r="G7" s="127"/>
      <c r="M7" s="10"/>
    </row>
    <row r="8" spans="1:31">
      <c r="G8" s="127"/>
      <c r="M8" s="10"/>
      <c r="W8" t="s">
        <v>156</v>
      </c>
    </row>
    <row r="9" spans="1:31">
      <c r="A9" s="123"/>
      <c r="B9" s="123"/>
      <c r="C9" s="121" t="s">
        <v>157</v>
      </c>
      <c r="D9" s="126"/>
      <c r="E9" s="121"/>
      <c r="F9" s="119"/>
      <c r="G9" s="152"/>
      <c r="H9" s="119" t="s">
        <v>158</v>
      </c>
      <c r="I9" s="119"/>
      <c r="J9" s="119"/>
      <c r="K9" s="119"/>
      <c r="L9" s="119"/>
      <c r="M9" s="187"/>
      <c r="N9" s="121" t="s">
        <v>159</v>
      </c>
      <c r="O9" s="119"/>
      <c r="P9" s="119"/>
      <c r="Q9" s="119"/>
      <c r="R9" s="126"/>
      <c r="S9" s="122" t="s">
        <v>109</v>
      </c>
      <c r="T9" s="415" t="s">
        <v>329</v>
      </c>
      <c r="V9" s="164" t="s">
        <v>161</v>
      </c>
      <c r="W9" s="164" t="s">
        <v>162</v>
      </c>
      <c r="X9" s="164" t="s">
        <v>163</v>
      </c>
      <c r="Y9" s="158" t="s">
        <v>25</v>
      </c>
      <c r="Z9" s="159"/>
      <c r="AB9" s="164" t="s">
        <v>164</v>
      </c>
    </row>
    <row r="10" spans="1:31">
      <c r="A10" s="100" t="s">
        <v>23</v>
      </c>
      <c r="B10" s="139" t="s">
        <v>29</v>
      </c>
      <c r="C10" s="209" t="s">
        <v>165</v>
      </c>
      <c r="D10" s="209" t="s">
        <v>166</v>
      </c>
      <c r="E10" s="123"/>
      <c r="F10" s="123"/>
      <c r="G10" s="133"/>
      <c r="H10" s="123"/>
      <c r="I10" s="209" t="s">
        <v>167</v>
      </c>
      <c r="J10" s="209" t="s">
        <v>168</v>
      </c>
      <c r="K10" s="209" t="s">
        <v>167</v>
      </c>
      <c r="L10" s="123"/>
      <c r="M10" s="223" t="s">
        <v>169</v>
      </c>
      <c r="N10" s="123"/>
      <c r="O10" s="123"/>
      <c r="P10" s="122" t="s">
        <v>24</v>
      </c>
      <c r="Q10" s="122" t="s">
        <v>170</v>
      </c>
      <c r="R10" s="122" t="s">
        <v>171</v>
      </c>
      <c r="S10" s="100" t="s">
        <v>115</v>
      </c>
      <c r="T10" s="416" t="s">
        <v>323</v>
      </c>
      <c r="U10" s="584" t="s">
        <v>23</v>
      </c>
      <c r="V10" s="100" t="s">
        <v>321</v>
      </c>
      <c r="W10" s="122" t="s">
        <v>172</v>
      </c>
      <c r="X10" s="122" t="s">
        <v>112</v>
      </c>
      <c r="Y10" s="164" t="s">
        <v>173</v>
      </c>
      <c r="Z10" s="164" t="s">
        <v>174</v>
      </c>
      <c r="AB10" s="122" t="s">
        <v>29</v>
      </c>
      <c r="AC10" s="13" t="s">
        <v>296</v>
      </c>
    </row>
    <row r="11" spans="1:31" ht="16.5">
      <c r="A11" s="125" t="s">
        <v>27</v>
      </c>
      <c r="B11" s="27" t="s">
        <v>27</v>
      </c>
      <c r="C11" s="163" t="s">
        <v>161</v>
      </c>
      <c r="D11" s="214" t="s">
        <v>240</v>
      </c>
      <c r="E11" s="188" t="s">
        <v>175</v>
      </c>
      <c r="F11" s="188" t="s">
        <v>176</v>
      </c>
      <c r="G11" s="214" t="s">
        <v>152</v>
      </c>
      <c r="H11" s="215" t="s">
        <v>177</v>
      </c>
      <c r="I11" s="216" t="s">
        <v>177</v>
      </c>
      <c r="J11" s="214" t="s">
        <v>239</v>
      </c>
      <c r="K11" s="188" t="s">
        <v>168</v>
      </c>
      <c r="L11" s="188" t="s">
        <v>241</v>
      </c>
      <c r="M11" s="217" t="s">
        <v>178</v>
      </c>
      <c r="N11" s="188" t="s">
        <v>242</v>
      </c>
      <c r="O11" s="217" t="s">
        <v>243</v>
      </c>
      <c r="P11" s="214" t="s">
        <v>239</v>
      </c>
      <c r="Q11" s="188" t="s">
        <v>244</v>
      </c>
      <c r="R11" s="188" t="s">
        <v>244</v>
      </c>
      <c r="S11" s="188" t="s">
        <v>242</v>
      </c>
      <c r="T11" s="569" t="s">
        <v>115</v>
      </c>
      <c r="U11" s="585" t="s">
        <v>27</v>
      </c>
      <c r="V11" s="125">
        <v>1.2</v>
      </c>
      <c r="W11" s="125" t="s">
        <v>179</v>
      </c>
      <c r="X11" s="125" t="s">
        <v>179</v>
      </c>
      <c r="Y11" s="164" t="s">
        <v>170</v>
      </c>
      <c r="Z11" s="164" t="s">
        <v>171</v>
      </c>
      <c r="AA11" s="164" t="s">
        <v>111</v>
      </c>
      <c r="AB11" s="125" t="s">
        <v>179</v>
      </c>
      <c r="AC11" s="125" t="s">
        <v>29</v>
      </c>
      <c r="AD11" s="164"/>
      <c r="AE11" s="164" t="s">
        <v>171</v>
      </c>
    </row>
    <row r="12" spans="1:31">
      <c r="A12" s="36"/>
      <c r="B12" s="31"/>
      <c r="C12" s="31"/>
      <c r="D12" s="31"/>
      <c r="E12" s="31"/>
      <c r="F12" s="31"/>
      <c r="G12" s="131"/>
      <c r="H12" s="31"/>
      <c r="I12" s="31"/>
      <c r="J12" s="31"/>
      <c r="K12" s="31"/>
      <c r="L12" s="31"/>
      <c r="M12" s="145"/>
      <c r="N12" s="31"/>
      <c r="O12" s="31"/>
      <c r="P12" s="31"/>
      <c r="Q12" s="31"/>
      <c r="R12" s="31"/>
      <c r="S12" s="46"/>
      <c r="T12" s="46"/>
      <c r="U12" s="46"/>
      <c r="V12" s="123"/>
      <c r="W12" s="123"/>
      <c r="X12" s="123"/>
      <c r="Y12" s="36"/>
      <c r="Z12" s="46"/>
      <c r="AB12" s="123"/>
    </row>
    <row r="13" spans="1:31">
      <c r="A13" s="134">
        <v>1962</v>
      </c>
      <c r="B13" s="440">
        <f t="shared" ref="B13:B60" si="0">A13+$H$4</f>
        <v>1967</v>
      </c>
      <c r="C13" s="515">
        <f>VLOOKUP($A13,'Brd Tbl'!$A$8:$AX$64,16)</f>
        <v>102401.66367310109</v>
      </c>
      <c r="D13" s="515">
        <f>VLOOKUP($A13,'Brd Tbl'!$A$8:$AX$64,22)</f>
        <v>560800.76741469896</v>
      </c>
      <c r="E13" s="7">
        <v>47</v>
      </c>
      <c r="F13" s="7">
        <v>45</v>
      </c>
      <c r="G13" s="580">
        <v>480719.52952441212</v>
      </c>
      <c r="H13" s="576">
        <v>2.5460900135693159</v>
      </c>
      <c r="I13" s="579">
        <v>0.37282073761561668</v>
      </c>
      <c r="J13" s="7">
        <v>741443.38277537865</v>
      </c>
      <c r="K13" s="7">
        <v>356265.76172902441</v>
      </c>
      <c r="L13" s="581">
        <v>0.50894163689891836</v>
      </c>
      <c r="M13" s="582">
        <v>134564335399.58778</v>
      </c>
      <c r="N13" s="440">
        <f t="shared" ref="N13:N60" si="1">D13-J13</f>
        <v>-180642.61536067969</v>
      </c>
      <c r="O13" s="518">
        <f t="shared" ref="O13:O60" si="2">N13^2</f>
        <v>32631754484.34647</v>
      </c>
      <c r="P13" s="467">
        <f t="shared" ref="P13:P60" si="3">J13</f>
        <v>741443.38277537865</v>
      </c>
      <c r="Q13" s="467">
        <f t="shared" ref="Q13:Q39" si="4">$P13-SQRT($O$64)*$Q$64</f>
        <v>267205.87118581601</v>
      </c>
      <c r="R13" s="467">
        <f t="shared" ref="R13:R39" si="5">$P13+SQRT($O$64)*$Q$64</f>
        <v>1215680.8943649414</v>
      </c>
      <c r="S13" s="468">
        <f t="shared" ref="S13:S59" si="6">(+P13-D13)/(D13)</f>
        <v>0.32211549244742516</v>
      </c>
      <c r="T13" s="468">
        <f t="shared" ref="T13:T60" si="7">ABS(S13)</f>
        <v>0.32211549244742516</v>
      </c>
      <c r="U13" s="519">
        <f t="shared" ref="U13:U60" si="8">A13</f>
        <v>1962</v>
      </c>
      <c r="V13" s="520">
        <f t="shared" ref="V13:V60" si="9">C13</f>
        <v>102401.66367310109</v>
      </c>
      <c r="W13" s="442">
        <f t="shared" ref="W13:W60" si="10">(+G$62+H$62*C13)</f>
        <v>733711.17898876697</v>
      </c>
      <c r="X13" s="442">
        <f t="shared" ref="X13:X60" si="11">D13</f>
        <v>560800.76741469896</v>
      </c>
      <c r="Y13" s="521">
        <f t="shared" ref="Y13:Y60" si="12">W13-SQRT($O$64)*$Q$64</f>
        <v>259473.66739920434</v>
      </c>
      <c r="Z13" s="522">
        <f t="shared" ref="Z13:Z60" si="13">W13+SQRT($O$64)*$Q$64</f>
        <v>1207948.6905783296</v>
      </c>
      <c r="AB13" s="801">
        <f t="shared" ref="AB13:AB45" si="14">B13-1900</f>
        <v>67</v>
      </c>
      <c r="AC13" s="523">
        <f t="shared" ref="AC13:AC60" si="15">AVERAGE(D$13:D$60)</f>
        <v>1102430.580723501</v>
      </c>
    </row>
    <row r="14" spans="1:31">
      <c r="A14" s="134">
        <v>1963</v>
      </c>
      <c r="B14" s="440">
        <f t="shared" si="0"/>
        <v>1968</v>
      </c>
      <c r="C14" s="515">
        <f>VLOOKUP($A14,'Brd Tbl'!$A$8:$AX$64,16)</f>
        <v>97592.469650151805</v>
      </c>
      <c r="D14" s="515">
        <f>VLOOKUP($A14,'Brd Tbl'!$A$8:$AX$64,22)</f>
        <v>491920.16191207559</v>
      </c>
      <c r="E14" s="7">
        <v>47</v>
      </c>
      <c r="F14" s="7">
        <v>45</v>
      </c>
      <c r="G14" s="580">
        <v>484498.85585452104</v>
      </c>
      <c r="H14" s="576">
        <v>2.5357435894435194</v>
      </c>
      <c r="I14" s="579">
        <v>0.37233384037560502</v>
      </c>
      <c r="J14" s="7">
        <v>731968.33514785464</v>
      </c>
      <c r="K14" s="7">
        <v>355521.61887964042</v>
      </c>
      <c r="L14" s="581">
        <v>0.50755946648456352</v>
      </c>
      <c r="M14" s="582">
        <v>134032604101.93912</v>
      </c>
      <c r="N14" s="440">
        <f t="shared" si="1"/>
        <v>-240048.17323577905</v>
      </c>
      <c r="O14" s="518">
        <f t="shared" si="2"/>
        <v>57623125473.834587</v>
      </c>
      <c r="P14" s="467">
        <f t="shared" si="3"/>
        <v>731968.33514785464</v>
      </c>
      <c r="Q14" s="467">
        <f t="shared" si="4"/>
        <v>257730.823558292</v>
      </c>
      <c r="R14" s="467">
        <f t="shared" si="5"/>
        <v>1206205.8467374174</v>
      </c>
      <c r="S14" s="468">
        <f t="shared" si="6"/>
        <v>0.48798197720280589</v>
      </c>
      <c r="T14" s="468">
        <f t="shared" si="7"/>
        <v>0.48798197720280589</v>
      </c>
      <c r="U14" s="519">
        <f t="shared" si="8"/>
        <v>1963</v>
      </c>
      <c r="V14" s="520">
        <f t="shared" si="9"/>
        <v>97592.469650151805</v>
      </c>
      <c r="W14" s="442">
        <f t="shared" si="10"/>
        <v>721333.30535647797</v>
      </c>
      <c r="X14" s="442">
        <f t="shared" si="11"/>
        <v>491920.16191207559</v>
      </c>
      <c r="Y14" s="521">
        <f t="shared" si="12"/>
        <v>247095.79376691533</v>
      </c>
      <c r="Z14" s="522">
        <f t="shared" si="13"/>
        <v>1195570.8169460406</v>
      </c>
      <c r="AB14" s="801">
        <f t="shared" si="14"/>
        <v>68</v>
      </c>
      <c r="AC14" s="523">
        <f t="shared" si="15"/>
        <v>1102430.580723501</v>
      </c>
    </row>
    <row r="15" spans="1:31">
      <c r="A15" s="134">
        <v>1964</v>
      </c>
      <c r="B15" s="440">
        <f t="shared" si="0"/>
        <v>1969</v>
      </c>
      <c r="C15" s="515">
        <f>VLOOKUP($A15,'Brd Tbl'!$A$8:$AX$64,16)</f>
        <v>290718.45227450889</v>
      </c>
      <c r="D15" s="515">
        <f>VLOOKUP($A15,'Brd Tbl'!$A$8:$AX$64,22)</f>
        <v>836133.8820333922</v>
      </c>
      <c r="E15" s="7">
        <v>47</v>
      </c>
      <c r="F15" s="7">
        <v>45</v>
      </c>
      <c r="G15" s="580">
        <v>473665.48868964589</v>
      </c>
      <c r="H15" s="576">
        <v>2.5926666907170706</v>
      </c>
      <c r="I15" s="579">
        <v>0.36518139107098435</v>
      </c>
      <c r="J15" s="7">
        <v>1227401.5362785854</v>
      </c>
      <c r="K15" s="7">
        <v>352555.90260923567</v>
      </c>
      <c r="L15" s="581">
        <v>0.52832803058546973</v>
      </c>
      <c r="M15" s="582">
        <v>132001385978.86035</v>
      </c>
      <c r="N15" s="440">
        <f t="shared" si="1"/>
        <v>-391267.65424519323</v>
      </c>
      <c r="O15" s="518">
        <f t="shared" si="2"/>
        <v>153090377258.53607</v>
      </c>
      <c r="P15" s="467">
        <f t="shared" si="3"/>
        <v>1227401.5362785854</v>
      </c>
      <c r="Q15" s="467">
        <f t="shared" si="4"/>
        <v>753164.0246890228</v>
      </c>
      <c r="R15" s="467">
        <f t="shared" si="5"/>
        <v>1701639.047868148</v>
      </c>
      <c r="S15" s="468">
        <f t="shared" si="6"/>
        <v>0.46794856978366939</v>
      </c>
      <c r="T15" s="468">
        <f t="shared" si="7"/>
        <v>0.46794856978366939</v>
      </c>
      <c r="U15" s="519">
        <f t="shared" si="8"/>
        <v>1964</v>
      </c>
      <c r="V15" s="520">
        <f t="shared" si="9"/>
        <v>290718.45227450889</v>
      </c>
      <c r="W15" s="442">
        <f t="shared" si="10"/>
        <v>1218399.756954941</v>
      </c>
      <c r="X15" s="442">
        <f t="shared" si="11"/>
        <v>836133.8820333922</v>
      </c>
      <c r="Y15" s="521">
        <f t="shared" si="12"/>
        <v>744162.24536537833</v>
      </c>
      <c r="Z15" s="522">
        <f t="shared" si="13"/>
        <v>1692637.2685445035</v>
      </c>
      <c r="AB15" s="801">
        <f t="shared" si="14"/>
        <v>69</v>
      </c>
      <c r="AC15" s="523">
        <f t="shared" si="15"/>
        <v>1102430.580723501</v>
      </c>
    </row>
    <row r="16" spans="1:31">
      <c r="A16" s="134">
        <v>1965</v>
      </c>
      <c r="B16" s="440">
        <f t="shared" si="0"/>
        <v>1970</v>
      </c>
      <c r="C16" s="515">
        <f>VLOOKUP($A16,'Brd Tbl'!$A$8:$AX$64,16)</f>
        <v>386377.08528941998</v>
      </c>
      <c r="D16" s="515">
        <f>VLOOKUP($A16,'Brd Tbl'!$A$8:$AX$64,22)</f>
        <v>1126848.439217363</v>
      </c>
      <c r="E16" s="7">
        <v>47</v>
      </c>
      <c r="F16" s="7">
        <v>45</v>
      </c>
      <c r="G16" s="580">
        <v>464448.1893222637</v>
      </c>
      <c r="H16" s="576">
        <v>2.626905868604672</v>
      </c>
      <c r="I16" s="579">
        <v>0.36979318347632079</v>
      </c>
      <c r="J16" s="7">
        <v>1479424.4221634089</v>
      </c>
      <c r="K16" s="7">
        <v>353515.3052766422</v>
      </c>
      <c r="L16" s="581">
        <v>0.52861212032890148</v>
      </c>
      <c r="M16" s="582">
        <v>132613738181.16177</v>
      </c>
      <c r="N16" s="440">
        <f t="shared" si="1"/>
        <v>-352575.98294604593</v>
      </c>
      <c r="O16" s="518">
        <f t="shared" si="2"/>
        <v>124309823750.37047</v>
      </c>
      <c r="P16" s="467">
        <f t="shared" si="3"/>
        <v>1479424.4221634089</v>
      </c>
      <c r="Q16" s="467">
        <f t="shared" si="4"/>
        <v>1005186.9105738463</v>
      </c>
      <c r="R16" s="467">
        <f t="shared" si="5"/>
        <v>1953661.9337529717</v>
      </c>
      <c r="S16" s="468">
        <f t="shared" si="6"/>
        <v>0.31288678288530325</v>
      </c>
      <c r="T16" s="468">
        <f t="shared" si="7"/>
        <v>0.31288678288530325</v>
      </c>
      <c r="U16" s="519">
        <f t="shared" si="8"/>
        <v>1965</v>
      </c>
      <c r="V16" s="520">
        <f t="shared" si="9"/>
        <v>386377.08528941998</v>
      </c>
      <c r="W16" s="442">
        <f t="shared" si="10"/>
        <v>1464605.3509995644</v>
      </c>
      <c r="X16" s="442">
        <f t="shared" si="11"/>
        <v>1126848.439217363</v>
      </c>
      <c r="Y16" s="521">
        <f t="shared" si="12"/>
        <v>990367.83941000176</v>
      </c>
      <c r="Z16" s="522">
        <f t="shared" si="13"/>
        <v>1938842.8625891269</v>
      </c>
      <c r="AB16" s="801">
        <f t="shared" si="14"/>
        <v>70</v>
      </c>
      <c r="AC16" s="523">
        <f t="shared" si="15"/>
        <v>1102430.580723501</v>
      </c>
    </row>
    <row r="17" spans="1:29">
      <c r="A17" s="134">
        <v>1966</v>
      </c>
      <c r="B17" s="440">
        <f t="shared" si="0"/>
        <v>1971</v>
      </c>
      <c r="C17" s="515">
        <f>VLOOKUP($A17,'Brd Tbl'!$A$8:$AX$64,16)</f>
        <v>302159.62071066484</v>
      </c>
      <c r="D17" s="515">
        <f>VLOOKUP($A17,'Brd Tbl'!$A$8:$AX$64,22)</f>
        <v>886578.61449924554</v>
      </c>
      <c r="E17" s="7">
        <v>47</v>
      </c>
      <c r="F17" s="7">
        <v>45</v>
      </c>
      <c r="G17" s="580">
        <v>472362.62086102867</v>
      </c>
      <c r="H17" s="576">
        <v>2.5961875566831925</v>
      </c>
      <c r="I17" s="579">
        <v>0.36593014572343358</v>
      </c>
      <c r="J17" s="7">
        <v>1256825.6682821698</v>
      </c>
      <c r="K17" s="7">
        <v>353053.80863652145</v>
      </c>
      <c r="L17" s="581">
        <v>0.52798353830545308</v>
      </c>
      <c r="M17" s="582">
        <v>132341971009.14975</v>
      </c>
      <c r="N17" s="440">
        <f t="shared" si="1"/>
        <v>-370247.05378292431</v>
      </c>
      <c r="O17" s="518">
        <f t="shared" si="2"/>
        <v>137082880834.93565</v>
      </c>
      <c r="P17" s="467">
        <f t="shared" si="3"/>
        <v>1256825.6682821698</v>
      </c>
      <c r="Q17" s="467">
        <f t="shared" si="4"/>
        <v>782588.15669260721</v>
      </c>
      <c r="R17" s="467">
        <f t="shared" si="5"/>
        <v>1731063.1798717324</v>
      </c>
      <c r="S17" s="468">
        <f t="shared" si="6"/>
        <v>0.41761333707789244</v>
      </c>
      <c r="T17" s="468">
        <f t="shared" si="7"/>
        <v>0.41761333707789244</v>
      </c>
      <c r="U17" s="519">
        <f t="shared" si="8"/>
        <v>1966</v>
      </c>
      <c r="V17" s="520">
        <f t="shared" si="9"/>
        <v>302159.62071066484</v>
      </c>
      <c r="W17" s="442">
        <f t="shared" si="10"/>
        <v>1247846.965038599</v>
      </c>
      <c r="X17" s="442">
        <f t="shared" si="11"/>
        <v>886578.61449924554</v>
      </c>
      <c r="Y17" s="521">
        <f t="shared" si="12"/>
        <v>773609.45344903634</v>
      </c>
      <c r="Z17" s="522">
        <f t="shared" si="13"/>
        <v>1722084.4766281615</v>
      </c>
      <c r="AB17" s="801">
        <f t="shared" si="14"/>
        <v>71</v>
      </c>
      <c r="AC17" s="523">
        <f t="shared" si="15"/>
        <v>1102430.580723501</v>
      </c>
    </row>
    <row r="18" spans="1:29">
      <c r="A18" s="134">
        <v>1967</v>
      </c>
      <c r="B18" s="440">
        <f t="shared" si="0"/>
        <v>1972</v>
      </c>
      <c r="C18" s="515">
        <f>VLOOKUP($A18,'Brd Tbl'!$A$8:$AX$64,16)</f>
        <v>97321.711125474932</v>
      </c>
      <c r="D18" s="515">
        <f>VLOOKUP($A18,'Brd Tbl'!$A$8:$AX$64,22)</f>
        <v>707854.19432154007</v>
      </c>
      <c r="E18" s="7">
        <v>47</v>
      </c>
      <c r="F18" s="7">
        <v>45</v>
      </c>
      <c r="G18" s="580">
        <v>470950.89243773988</v>
      </c>
      <c r="H18" s="576">
        <v>2.5716696601054982</v>
      </c>
      <c r="I18" s="579">
        <v>0.37414324418920497</v>
      </c>
      <c r="J18" s="7">
        <v>721230.18420867552</v>
      </c>
      <c r="K18" s="7">
        <v>357233.26329033094</v>
      </c>
      <c r="L18" s="581">
        <v>0.5121679297139492</v>
      </c>
      <c r="M18" s="582">
        <v>135254821301.26622</v>
      </c>
      <c r="N18" s="440">
        <f t="shared" si="1"/>
        <v>-13375.989887135453</v>
      </c>
      <c r="O18" s="518">
        <f t="shared" si="2"/>
        <v>178917105.46074989</v>
      </c>
      <c r="P18" s="467">
        <f t="shared" si="3"/>
        <v>721230.18420867552</v>
      </c>
      <c r="Q18" s="467">
        <f t="shared" si="4"/>
        <v>246992.67261911288</v>
      </c>
      <c r="R18" s="467">
        <f t="shared" si="5"/>
        <v>1195467.6957982383</v>
      </c>
      <c r="S18" s="468">
        <f t="shared" si="6"/>
        <v>1.8896532639685767E-2</v>
      </c>
      <c r="T18" s="468">
        <f t="shared" si="7"/>
        <v>1.8896532639685767E-2</v>
      </c>
      <c r="U18" s="519">
        <f t="shared" si="8"/>
        <v>1967</v>
      </c>
      <c r="V18" s="520">
        <f t="shared" si="9"/>
        <v>97321.711125474932</v>
      </c>
      <c r="W18" s="442">
        <f t="shared" si="10"/>
        <v>720636.42875151616</v>
      </c>
      <c r="X18" s="442">
        <f t="shared" si="11"/>
        <v>707854.19432154007</v>
      </c>
      <c r="Y18" s="521">
        <f t="shared" si="12"/>
        <v>246398.91716195352</v>
      </c>
      <c r="Z18" s="522">
        <f t="shared" si="13"/>
        <v>1194873.9403410787</v>
      </c>
      <c r="AB18" s="801">
        <f t="shared" si="14"/>
        <v>72</v>
      </c>
      <c r="AC18" s="523">
        <f t="shared" si="15"/>
        <v>1102430.580723501</v>
      </c>
    </row>
    <row r="19" spans="1:29">
      <c r="A19" s="134">
        <v>1968</v>
      </c>
      <c r="B19" s="440">
        <f t="shared" si="0"/>
        <v>1973</v>
      </c>
      <c r="C19" s="515">
        <f>VLOOKUP($A19,'Brd Tbl'!$A$8:$AX$64,16)</f>
        <v>145881.52486171451</v>
      </c>
      <c r="D19" s="515">
        <f>VLOOKUP($A19,'Brd Tbl'!$A$8:$AX$64,22)</f>
        <v>592986.4878251045</v>
      </c>
      <c r="E19" s="7">
        <v>47</v>
      </c>
      <c r="F19" s="7">
        <v>45</v>
      </c>
      <c r="G19" s="580">
        <v>482429.50105572469</v>
      </c>
      <c r="H19" s="576">
        <v>2.5459310947857463</v>
      </c>
      <c r="I19" s="579">
        <v>0.36951060490248555</v>
      </c>
      <c r="J19" s="7">
        <v>853833.81135592354</v>
      </c>
      <c r="K19" s="7">
        <v>355183.03765281168</v>
      </c>
      <c r="L19" s="581">
        <v>0.5133673284537672</v>
      </c>
      <c r="M19" s="582">
        <v>133810940256.84644</v>
      </c>
      <c r="N19" s="440">
        <f t="shared" si="1"/>
        <v>-260847.32353081903</v>
      </c>
      <c r="O19" s="518">
        <f t="shared" si="2"/>
        <v>68041326193.19178</v>
      </c>
      <c r="P19" s="467">
        <f t="shared" si="3"/>
        <v>853833.81135592354</v>
      </c>
      <c r="Q19" s="467">
        <f t="shared" si="4"/>
        <v>379596.2997663609</v>
      </c>
      <c r="R19" s="467">
        <f t="shared" si="5"/>
        <v>1328071.3229454863</v>
      </c>
      <c r="S19" s="468">
        <f t="shared" si="6"/>
        <v>0.43988746604923207</v>
      </c>
      <c r="T19" s="468">
        <f t="shared" si="7"/>
        <v>0.43988746604923207</v>
      </c>
      <c r="U19" s="519">
        <f t="shared" si="8"/>
        <v>1968</v>
      </c>
      <c r="V19" s="520">
        <f t="shared" si="9"/>
        <v>145881.52486171451</v>
      </c>
      <c r="W19" s="442">
        <f t="shared" si="10"/>
        <v>845619.37499290239</v>
      </c>
      <c r="X19" s="442">
        <f t="shared" si="11"/>
        <v>592986.4878251045</v>
      </c>
      <c r="Y19" s="521">
        <f t="shared" si="12"/>
        <v>371381.86340333975</v>
      </c>
      <c r="Z19" s="522">
        <f t="shared" si="13"/>
        <v>1319856.8865824649</v>
      </c>
      <c r="AB19" s="801">
        <f t="shared" si="14"/>
        <v>73</v>
      </c>
      <c r="AC19" s="523">
        <f t="shared" si="15"/>
        <v>1102430.580723501</v>
      </c>
    </row>
    <row r="20" spans="1:29">
      <c r="A20" s="134">
        <v>1969</v>
      </c>
      <c r="B20" s="440">
        <f t="shared" si="0"/>
        <v>1974</v>
      </c>
      <c r="C20" s="515">
        <f>VLOOKUP($A20,'Brd Tbl'!$A$8:$AX$64,16)</f>
        <v>101514.29846521815</v>
      </c>
      <c r="D20" s="515">
        <f>VLOOKUP($A20,'Brd Tbl'!$A$8:$AX$64,22)</f>
        <v>638486.34876982134</v>
      </c>
      <c r="E20" s="7">
        <v>47</v>
      </c>
      <c r="F20" s="7">
        <v>45</v>
      </c>
      <c r="G20" s="580">
        <v>475855.69730653404</v>
      </c>
      <c r="H20" s="576">
        <v>2.5588062362136457</v>
      </c>
      <c r="I20" s="579">
        <v>0.3735981237052029</v>
      </c>
      <c r="J20" s="7">
        <v>735611.11728418758</v>
      </c>
      <c r="K20" s="7">
        <v>356957.71010869782</v>
      </c>
      <c r="L20" s="581">
        <v>0.51039059671395193</v>
      </c>
      <c r="M20" s="582">
        <v>135057921225.65964</v>
      </c>
      <c r="N20" s="440">
        <f t="shared" si="1"/>
        <v>-97124.768514366238</v>
      </c>
      <c r="O20" s="518">
        <f t="shared" si="2"/>
        <v>9433220658.9692268</v>
      </c>
      <c r="P20" s="467">
        <f t="shared" si="3"/>
        <v>735611.11728418758</v>
      </c>
      <c r="Q20" s="467">
        <f t="shared" si="4"/>
        <v>261373.60569462494</v>
      </c>
      <c r="R20" s="467">
        <f t="shared" si="5"/>
        <v>1209848.6288737501</v>
      </c>
      <c r="S20" s="468">
        <f t="shared" si="6"/>
        <v>0.1521172202060351</v>
      </c>
      <c r="T20" s="468">
        <f t="shared" si="7"/>
        <v>0.1521172202060351</v>
      </c>
      <c r="U20" s="519">
        <f t="shared" si="8"/>
        <v>1969</v>
      </c>
      <c r="V20" s="520">
        <f t="shared" si="9"/>
        <v>101514.29846521815</v>
      </c>
      <c r="W20" s="442">
        <f t="shared" si="10"/>
        <v>731427.28394181083</v>
      </c>
      <c r="X20" s="442">
        <f t="shared" si="11"/>
        <v>638486.34876982134</v>
      </c>
      <c r="Y20" s="521">
        <f t="shared" si="12"/>
        <v>257189.7723522482</v>
      </c>
      <c r="Z20" s="522">
        <f t="shared" si="13"/>
        <v>1205664.7955313735</v>
      </c>
      <c r="AB20" s="801">
        <f t="shared" si="14"/>
        <v>74</v>
      </c>
      <c r="AC20" s="523">
        <f t="shared" si="15"/>
        <v>1102430.580723501</v>
      </c>
    </row>
    <row r="21" spans="1:29">
      <c r="A21" s="134">
        <v>1970</v>
      </c>
      <c r="B21" s="440">
        <f t="shared" si="0"/>
        <v>1975</v>
      </c>
      <c r="C21" s="515">
        <f>VLOOKUP($A21,'Brd Tbl'!$A$8:$AX$64,16)</f>
        <v>83934.462420078504</v>
      </c>
      <c r="D21" s="515">
        <f>VLOOKUP($A21,'Brd Tbl'!$A$8:$AX$64,22)</f>
        <v>346614.00262167363</v>
      </c>
      <c r="E21" s="7">
        <v>47</v>
      </c>
      <c r="F21" s="7">
        <v>45</v>
      </c>
      <c r="G21" s="580">
        <v>492771.72508068907</v>
      </c>
      <c r="H21" s="576">
        <v>2.5119857261522371</v>
      </c>
      <c r="I21" s="579">
        <v>0.37104252817503741</v>
      </c>
      <c r="J21" s="7">
        <v>703613.89661218761</v>
      </c>
      <c r="K21" s="7">
        <v>353448.03173415951</v>
      </c>
      <c r="L21" s="581">
        <v>0.5045903276216972</v>
      </c>
      <c r="M21" s="582">
        <v>132546948807.5688</v>
      </c>
      <c r="N21" s="440">
        <f t="shared" si="1"/>
        <v>-356999.89399051399</v>
      </c>
      <c r="O21" s="518">
        <f t="shared" si="2"/>
        <v>127448924309.23822</v>
      </c>
      <c r="P21" s="467">
        <f t="shared" si="3"/>
        <v>703613.89661218761</v>
      </c>
      <c r="Q21" s="467">
        <f t="shared" si="4"/>
        <v>229376.38502262498</v>
      </c>
      <c r="R21" s="467">
        <f t="shared" si="5"/>
        <v>1177851.4082017504</v>
      </c>
      <c r="S21" s="468">
        <f t="shared" si="6"/>
        <v>1.0299638539997948</v>
      </c>
      <c r="T21" s="468">
        <f t="shared" si="7"/>
        <v>1.0299638539997948</v>
      </c>
      <c r="U21" s="519">
        <f t="shared" si="8"/>
        <v>1970</v>
      </c>
      <c r="V21" s="520">
        <f t="shared" si="9"/>
        <v>83934.462420078504</v>
      </c>
      <c r="W21" s="442">
        <f t="shared" si="10"/>
        <v>686180.41138796613</v>
      </c>
      <c r="X21" s="442">
        <f t="shared" si="11"/>
        <v>346614.00262167363</v>
      </c>
      <c r="Y21" s="521">
        <f t="shared" si="12"/>
        <v>211942.89979840349</v>
      </c>
      <c r="Z21" s="522">
        <f t="shared" si="13"/>
        <v>1160417.9229775288</v>
      </c>
      <c r="AB21" s="801">
        <f t="shared" si="14"/>
        <v>75</v>
      </c>
      <c r="AC21" s="523">
        <f t="shared" si="15"/>
        <v>1102430.580723501</v>
      </c>
    </row>
    <row r="22" spans="1:29">
      <c r="A22" s="134">
        <v>1971</v>
      </c>
      <c r="B22" s="440">
        <f t="shared" si="0"/>
        <v>1976</v>
      </c>
      <c r="C22" s="515">
        <f>VLOOKUP($A22,'Brd Tbl'!$A$8:$AX$64,16)</f>
        <v>48348.917227885802</v>
      </c>
      <c r="D22" s="515">
        <f>VLOOKUP($A22,'Brd Tbl'!$A$8:$AX$64,22)</f>
        <v>940919.76351097296</v>
      </c>
      <c r="E22" s="7">
        <v>47</v>
      </c>
      <c r="F22" s="7">
        <v>45</v>
      </c>
      <c r="G22" s="580">
        <v>443284.73642688652</v>
      </c>
      <c r="H22" s="576">
        <v>2.6518257024688245</v>
      </c>
      <c r="I22" s="579">
        <v>0.37351608328810915</v>
      </c>
      <c r="J22" s="7">
        <v>571497.63781833183</v>
      </c>
      <c r="K22" s="7">
        <v>353236.82648495078</v>
      </c>
      <c r="L22" s="581">
        <v>0.52832529842737874</v>
      </c>
      <c r="M22" s="582">
        <v>132354953432.20647</v>
      </c>
      <c r="N22" s="440">
        <f t="shared" si="1"/>
        <v>369422.12569264113</v>
      </c>
      <c r="O22" s="518">
        <f t="shared" si="2"/>
        <v>136472706951.26955</v>
      </c>
      <c r="P22" s="467">
        <f t="shared" si="3"/>
        <v>571497.63781833183</v>
      </c>
      <c r="Q22" s="467">
        <f t="shared" si="4"/>
        <v>97260.126228769193</v>
      </c>
      <c r="R22" s="467">
        <f t="shared" si="5"/>
        <v>1045735.1494078945</v>
      </c>
      <c r="S22" s="468">
        <f t="shared" si="6"/>
        <v>-0.39261809563247946</v>
      </c>
      <c r="T22" s="468">
        <f t="shared" si="7"/>
        <v>0.39261809563247946</v>
      </c>
      <c r="U22" s="519">
        <f t="shared" si="8"/>
        <v>1971</v>
      </c>
      <c r="V22" s="520">
        <f t="shared" si="9"/>
        <v>48348.917227885802</v>
      </c>
      <c r="W22" s="442">
        <f t="shared" si="10"/>
        <v>594590.55674222927</v>
      </c>
      <c r="X22" s="442">
        <f t="shared" si="11"/>
        <v>940919.76351097296</v>
      </c>
      <c r="Y22" s="521">
        <f t="shared" si="12"/>
        <v>120353.04515266663</v>
      </c>
      <c r="Z22" s="522">
        <f t="shared" si="13"/>
        <v>1068828.068331792</v>
      </c>
      <c r="AB22" s="801">
        <f t="shared" si="14"/>
        <v>76</v>
      </c>
      <c r="AC22" s="523">
        <f t="shared" si="15"/>
        <v>1102430.580723501</v>
      </c>
    </row>
    <row r="23" spans="1:29">
      <c r="A23" s="178">
        <v>1972</v>
      </c>
      <c r="B23" s="440">
        <f t="shared" si="0"/>
        <v>1977</v>
      </c>
      <c r="C23" s="515">
        <f>VLOOKUP($A23,'Brd Tbl'!$A$8:$AX$64,16)</f>
        <v>140037.97254138521</v>
      </c>
      <c r="D23" s="515">
        <f>VLOOKUP($A23,'Brd Tbl'!$A$8:$AX$64,22)</f>
        <v>846188.38728043251</v>
      </c>
      <c r="E23" s="7">
        <v>47</v>
      </c>
      <c r="F23" s="7">
        <v>45</v>
      </c>
      <c r="G23" s="580">
        <v>469365.93377063621</v>
      </c>
      <c r="H23" s="576">
        <v>2.575618531121378</v>
      </c>
      <c r="I23" s="579">
        <v>0.37188768962782037</v>
      </c>
      <c r="J23" s="7">
        <v>830050.33090889466</v>
      </c>
      <c r="K23" s="7">
        <v>357230.74623103096</v>
      </c>
      <c r="L23" s="581">
        <v>0.51595550406339075</v>
      </c>
      <c r="M23" s="582">
        <v>135253086838.33026</v>
      </c>
      <c r="N23" s="440">
        <f t="shared" si="1"/>
        <v>16138.056371537852</v>
      </c>
      <c r="O23" s="518">
        <f t="shared" si="2"/>
        <v>260436863.45093346</v>
      </c>
      <c r="P23" s="467">
        <f t="shared" si="3"/>
        <v>830050.33090889466</v>
      </c>
      <c r="Q23" s="467">
        <f t="shared" si="4"/>
        <v>355812.81931933202</v>
      </c>
      <c r="R23" s="467">
        <f t="shared" si="5"/>
        <v>1304287.8424984573</v>
      </c>
      <c r="S23" s="468">
        <f t="shared" si="6"/>
        <v>-1.9071469916296064E-2</v>
      </c>
      <c r="T23" s="468">
        <f t="shared" si="7"/>
        <v>1.9071469916296064E-2</v>
      </c>
      <c r="U23" s="519">
        <f t="shared" si="8"/>
        <v>1972</v>
      </c>
      <c r="V23" s="520">
        <f t="shared" si="9"/>
        <v>140037.97254138521</v>
      </c>
      <c r="W23" s="442">
        <f t="shared" si="10"/>
        <v>830579.27641514782</v>
      </c>
      <c r="X23" s="442">
        <f t="shared" si="11"/>
        <v>846188.38728043251</v>
      </c>
      <c r="Y23" s="521">
        <f t="shared" si="12"/>
        <v>356341.76482558518</v>
      </c>
      <c r="Z23" s="522">
        <f t="shared" si="13"/>
        <v>1304816.7880047103</v>
      </c>
      <c r="AB23" s="801">
        <f t="shared" si="14"/>
        <v>77</v>
      </c>
      <c r="AC23" s="523">
        <f t="shared" si="15"/>
        <v>1102430.580723501</v>
      </c>
    </row>
    <row r="24" spans="1:29">
      <c r="A24" s="134">
        <v>1973</v>
      </c>
      <c r="B24" s="440">
        <f t="shared" si="0"/>
        <v>1978</v>
      </c>
      <c r="C24" s="515">
        <f>VLOOKUP($A24,'Brd Tbl'!$A$8:$AX$64,16)</f>
        <v>30330.912651635219</v>
      </c>
      <c r="D24" s="515">
        <f>VLOOKUP($A24,'Brd Tbl'!$A$8:$AX$64,22)</f>
        <v>297364.96532358415</v>
      </c>
      <c r="E24" s="7">
        <v>47</v>
      </c>
      <c r="F24" s="7">
        <v>45</v>
      </c>
      <c r="G24" s="580">
        <v>491054.98176161409</v>
      </c>
      <c r="H24" s="576">
        <v>2.5115848058413142</v>
      </c>
      <c r="I24" s="579">
        <v>0.37711882887495951</v>
      </c>
      <c r="J24" s="7">
        <v>567233.6411247612</v>
      </c>
      <c r="K24" s="7">
        <v>355126.78035886632</v>
      </c>
      <c r="L24" s="581">
        <v>0.49638888828984268</v>
      </c>
      <c r="M24" s="582">
        <v>133709072682.68706</v>
      </c>
      <c r="N24" s="440">
        <f t="shared" si="1"/>
        <v>-269868.67580117704</v>
      </c>
      <c r="O24" s="518">
        <f t="shared" si="2"/>
        <v>72829102178.680801</v>
      </c>
      <c r="P24" s="467">
        <f t="shared" si="3"/>
        <v>567233.6411247612</v>
      </c>
      <c r="Q24" s="467">
        <f t="shared" si="4"/>
        <v>92996.129535198561</v>
      </c>
      <c r="R24" s="467">
        <f t="shared" si="5"/>
        <v>1041471.1527143238</v>
      </c>
      <c r="S24" s="468">
        <f t="shared" si="6"/>
        <v>0.90753352704987822</v>
      </c>
      <c r="T24" s="468">
        <f t="shared" si="7"/>
        <v>0.90753352704987822</v>
      </c>
      <c r="U24" s="519">
        <f t="shared" si="8"/>
        <v>1973</v>
      </c>
      <c r="V24" s="520">
        <f t="shared" si="9"/>
        <v>30330.912651635219</v>
      </c>
      <c r="W24" s="442">
        <f t="shared" si="10"/>
        <v>548215.92875122477</v>
      </c>
      <c r="X24" s="442">
        <f t="shared" si="11"/>
        <v>297364.96532358415</v>
      </c>
      <c r="Y24" s="521">
        <f t="shared" si="12"/>
        <v>73978.417161662132</v>
      </c>
      <c r="Z24" s="522">
        <f t="shared" si="13"/>
        <v>1022453.4403407874</v>
      </c>
      <c r="AB24" s="801">
        <f t="shared" si="14"/>
        <v>78</v>
      </c>
      <c r="AC24" s="523">
        <f t="shared" si="15"/>
        <v>1102430.580723501</v>
      </c>
    </row>
    <row r="25" spans="1:29">
      <c r="A25" s="134">
        <v>1974</v>
      </c>
      <c r="B25" s="440">
        <f t="shared" si="0"/>
        <v>1979</v>
      </c>
      <c r="C25" s="515">
        <f>VLOOKUP($A25,'Brd Tbl'!$A$8:$AX$64,16)</f>
        <v>154457.91935439411</v>
      </c>
      <c r="D25" s="515">
        <f>VLOOKUP($A25,'Brd Tbl'!$A$8:$AX$64,22)</f>
        <v>442734.39909796033</v>
      </c>
      <c r="E25" s="7">
        <v>47</v>
      </c>
      <c r="F25" s="7">
        <v>45</v>
      </c>
      <c r="G25" s="580">
        <v>489780.12655393383</v>
      </c>
      <c r="H25" s="576">
        <v>2.5310313320465272</v>
      </c>
      <c r="I25" s="579">
        <v>0.36524645471274075</v>
      </c>
      <c r="J25" s="7">
        <v>880717.95992262103</v>
      </c>
      <c r="K25" s="7">
        <v>351401.89666947647</v>
      </c>
      <c r="L25" s="581">
        <v>0.51623356776563323</v>
      </c>
      <c r="M25" s="582">
        <v>131177147206.64517</v>
      </c>
      <c r="N25" s="440">
        <f t="shared" si="1"/>
        <v>-437983.5608246607</v>
      </c>
      <c r="O25" s="518">
        <f t="shared" si="2"/>
        <v>191829599552.64926</v>
      </c>
      <c r="P25" s="467">
        <f t="shared" si="3"/>
        <v>880717.95992262103</v>
      </c>
      <c r="Q25" s="467">
        <f t="shared" si="4"/>
        <v>406480.44833305839</v>
      </c>
      <c r="R25" s="467">
        <f t="shared" si="5"/>
        <v>1354955.4715121835</v>
      </c>
      <c r="S25" s="468">
        <f t="shared" si="6"/>
        <v>0.98926932652403088</v>
      </c>
      <c r="T25" s="468">
        <f t="shared" si="7"/>
        <v>0.98926932652403088</v>
      </c>
      <c r="U25" s="519">
        <f t="shared" si="8"/>
        <v>1974</v>
      </c>
      <c r="V25" s="520">
        <f t="shared" si="9"/>
        <v>154457.91935439411</v>
      </c>
      <c r="W25" s="442">
        <f t="shared" si="10"/>
        <v>867693.24573807674</v>
      </c>
      <c r="X25" s="442">
        <f t="shared" si="11"/>
        <v>442734.39909796033</v>
      </c>
      <c r="Y25" s="521">
        <f t="shared" si="12"/>
        <v>393455.73414851411</v>
      </c>
      <c r="Z25" s="522">
        <f t="shared" si="13"/>
        <v>1341930.7573276395</v>
      </c>
      <c r="AB25" s="801">
        <f t="shared" si="14"/>
        <v>79</v>
      </c>
      <c r="AC25" s="523">
        <f t="shared" si="15"/>
        <v>1102430.580723501</v>
      </c>
    </row>
    <row r="26" spans="1:29">
      <c r="A26" s="134">
        <v>1975</v>
      </c>
      <c r="B26" s="440">
        <f t="shared" si="0"/>
        <v>1980</v>
      </c>
      <c r="C26" s="515">
        <f>VLOOKUP($A26,'Brd Tbl'!$A$8:$AX$64,16)</f>
        <v>68722.812745743839</v>
      </c>
      <c r="D26" s="515">
        <f>VLOOKUP($A26,'Brd Tbl'!$A$8:$AX$64,22)</f>
        <v>410835.62987088464</v>
      </c>
      <c r="E26" s="7">
        <v>47</v>
      </c>
      <c r="F26" s="7">
        <v>45</v>
      </c>
      <c r="G26" s="580">
        <v>486976.1265070833</v>
      </c>
      <c r="H26" s="576">
        <v>2.5264837336695942</v>
      </c>
      <c r="I26" s="579">
        <v>0.37417693454262768</v>
      </c>
      <c r="J26" s="7">
        <v>660603.19504122657</v>
      </c>
      <c r="K26" s="7">
        <v>355398.9867278061</v>
      </c>
      <c r="L26" s="581">
        <v>0.50326183821760839</v>
      </c>
      <c r="M26" s="582">
        <v>133931312375.61386</v>
      </c>
      <c r="N26" s="440">
        <f t="shared" si="1"/>
        <v>-249767.56517034193</v>
      </c>
      <c r="O26" s="518">
        <f t="shared" si="2"/>
        <v>62383836611.121002</v>
      </c>
      <c r="P26" s="467">
        <f t="shared" si="3"/>
        <v>660603.19504122657</v>
      </c>
      <c r="Q26" s="467">
        <f t="shared" si="4"/>
        <v>186365.68345166394</v>
      </c>
      <c r="R26" s="467">
        <f t="shared" si="5"/>
        <v>1134840.7066307892</v>
      </c>
      <c r="S26" s="468">
        <f t="shared" si="6"/>
        <v>0.60795010707527397</v>
      </c>
      <c r="T26" s="468">
        <f t="shared" si="7"/>
        <v>0.60795010707527397</v>
      </c>
      <c r="U26" s="519">
        <f t="shared" si="8"/>
        <v>1975</v>
      </c>
      <c r="V26" s="520">
        <f t="shared" si="9"/>
        <v>68722.812745743839</v>
      </c>
      <c r="W26" s="442">
        <f t="shared" si="10"/>
        <v>647028.76217001758</v>
      </c>
      <c r="X26" s="442">
        <f t="shared" si="11"/>
        <v>410835.62987088464</v>
      </c>
      <c r="Y26" s="521">
        <f t="shared" si="12"/>
        <v>172791.25058045494</v>
      </c>
      <c r="Z26" s="522">
        <f t="shared" si="13"/>
        <v>1121266.2737595802</v>
      </c>
      <c r="AB26" s="801">
        <f t="shared" si="14"/>
        <v>80</v>
      </c>
      <c r="AC26" s="523">
        <f t="shared" si="15"/>
        <v>1102430.580723501</v>
      </c>
    </row>
    <row r="27" spans="1:29">
      <c r="A27" s="134">
        <v>1976</v>
      </c>
      <c r="B27" s="440">
        <f t="shared" si="0"/>
        <v>1981</v>
      </c>
      <c r="C27" s="515">
        <f>VLOOKUP($A27,'Brd Tbl'!$A$8:$AX$64,16)</f>
        <v>173715.68474284798</v>
      </c>
      <c r="D27" s="515">
        <f>VLOOKUP($A27,'Brd Tbl'!$A$8:$AX$64,22)</f>
        <v>897075.92530656559</v>
      </c>
      <c r="E27" s="7">
        <v>47</v>
      </c>
      <c r="F27" s="7">
        <v>45</v>
      </c>
      <c r="G27" s="580">
        <v>470974.49497714988</v>
      </c>
      <c r="H27" s="576">
        <v>2.5721972047000072</v>
      </c>
      <c r="I27" s="579">
        <v>0.3706576757884622</v>
      </c>
      <c r="J27" s="7">
        <v>917805.4936852511</v>
      </c>
      <c r="K27" s="7">
        <v>357225.56806541898</v>
      </c>
      <c r="L27" s="581">
        <v>0.51694629740637066</v>
      </c>
      <c r="M27" s="582">
        <v>135249485175.74054</v>
      </c>
      <c r="N27" s="440">
        <f t="shared" si="1"/>
        <v>-20729.568378685508</v>
      </c>
      <c r="O27" s="518">
        <f t="shared" si="2"/>
        <v>429715005.16659814</v>
      </c>
      <c r="P27" s="467">
        <f t="shared" si="3"/>
        <v>917805.4936852511</v>
      </c>
      <c r="Q27" s="467">
        <f t="shared" si="4"/>
        <v>443567.98209568847</v>
      </c>
      <c r="R27" s="467">
        <f t="shared" si="5"/>
        <v>1392043.0052748136</v>
      </c>
      <c r="S27" s="468">
        <f t="shared" si="6"/>
        <v>2.3107930771413147E-2</v>
      </c>
      <c r="T27" s="468">
        <f t="shared" si="7"/>
        <v>2.3107930771413147E-2</v>
      </c>
      <c r="U27" s="519">
        <f t="shared" si="8"/>
        <v>1976</v>
      </c>
      <c r="V27" s="520">
        <f t="shared" si="9"/>
        <v>173715.68474284798</v>
      </c>
      <c r="W27" s="442">
        <f t="shared" si="10"/>
        <v>917258.76238828013</v>
      </c>
      <c r="X27" s="442">
        <f t="shared" si="11"/>
        <v>897075.92530656559</v>
      </c>
      <c r="Y27" s="521">
        <f t="shared" si="12"/>
        <v>443021.25079871749</v>
      </c>
      <c r="Z27" s="522">
        <f t="shared" si="13"/>
        <v>1391496.2739778426</v>
      </c>
      <c r="AB27" s="801">
        <f t="shared" si="14"/>
        <v>81</v>
      </c>
      <c r="AC27" s="523">
        <f t="shared" si="15"/>
        <v>1102430.580723501</v>
      </c>
    </row>
    <row r="28" spans="1:29">
      <c r="A28" s="134">
        <v>1977</v>
      </c>
      <c r="B28" s="440">
        <f t="shared" si="0"/>
        <v>1982</v>
      </c>
      <c r="C28" s="515">
        <f>VLOOKUP($A28,'Brd Tbl'!$A$8:$AX$64,16)</f>
        <v>135148.94242353513</v>
      </c>
      <c r="D28" s="515">
        <f>VLOOKUP($A28,'Brd Tbl'!$A$8:$AX$64,22)</f>
        <v>1351823.9406582871</v>
      </c>
      <c r="E28" s="7">
        <v>47</v>
      </c>
      <c r="F28" s="7">
        <v>45</v>
      </c>
      <c r="G28" s="580">
        <v>442579.47815549118</v>
      </c>
      <c r="H28" s="576">
        <v>2.6391651578731117</v>
      </c>
      <c r="I28" s="579">
        <v>0.36243101021908386</v>
      </c>
      <c r="J28" s="7">
        <v>799259.8581230843</v>
      </c>
      <c r="K28" s="7">
        <v>347943.13019511313</v>
      </c>
      <c r="L28" s="581">
        <v>0.54093444269138691</v>
      </c>
      <c r="M28" s="582">
        <v>128762307509.72346</v>
      </c>
      <c r="N28" s="440">
        <f t="shared" si="1"/>
        <v>552564.08253520285</v>
      </c>
      <c r="O28" s="518">
        <f t="shared" si="2"/>
        <v>305327065307.97046</v>
      </c>
      <c r="P28" s="467">
        <f t="shared" si="3"/>
        <v>799259.8581230843</v>
      </c>
      <c r="Q28" s="467">
        <f t="shared" si="4"/>
        <v>325022.34653352166</v>
      </c>
      <c r="R28" s="467">
        <f t="shared" si="5"/>
        <v>1273497.3697126471</v>
      </c>
      <c r="S28" s="468">
        <f t="shared" si="6"/>
        <v>-0.40875447306113327</v>
      </c>
      <c r="T28" s="468">
        <f t="shared" si="7"/>
        <v>0.40875447306113327</v>
      </c>
      <c r="U28" s="519">
        <f t="shared" si="8"/>
        <v>1977</v>
      </c>
      <c r="V28" s="520">
        <f t="shared" si="9"/>
        <v>135148.94242353513</v>
      </c>
      <c r="W28" s="442">
        <f t="shared" si="10"/>
        <v>817995.92113889474</v>
      </c>
      <c r="X28" s="442">
        <f t="shared" si="11"/>
        <v>1351823.9406582871</v>
      </c>
      <c r="Y28" s="521">
        <f t="shared" si="12"/>
        <v>343758.40954933211</v>
      </c>
      <c r="Z28" s="522">
        <f t="shared" si="13"/>
        <v>1292233.4327284573</v>
      </c>
      <c r="AB28" s="801">
        <f t="shared" si="14"/>
        <v>82</v>
      </c>
      <c r="AC28" s="523">
        <f t="shared" si="15"/>
        <v>1102430.580723501</v>
      </c>
    </row>
    <row r="29" spans="1:29">
      <c r="A29" s="134">
        <v>1978</v>
      </c>
      <c r="B29" s="440">
        <f t="shared" si="0"/>
        <v>1983</v>
      </c>
      <c r="C29" s="515">
        <f>VLOOKUP($A29,'Brd Tbl'!$A$8:$AX$64,16)</f>
        <v>359995.48750384717</v>
      </c>
      <c r="D29" s="515">
        <f>VLOOKUP($A29,'Brd Tbl'!$A$8:$AX$64,22)</f>
        <v>817109.74979398493</v>
      </c>
      <c r="E29" s="7">
        <v>47</v>
      </c>
      <c r="F29" s="7">
        <v>45</v>
      </c>
      <c r="G29" s="580">
        <v>464604.67810777761</v>
      </c>
      <c r="H29" s="576">
        <v>2.6472949010693716</v>
      </c>
      <c r="I29" s="579">
        <v>0.3608330259685727</v>
      </c>
      <c r="J29" s="7">
        <v>1417618.8965846947</v>
      </c>
      <c r="K29" s="7">
        <v>346244.01122126606</v>
      </c>
      <c r="L29" s="581">
        <v>0.54465422852361667</v>
      </c>
      <c r="M29" s="582">
        <v>127586048572.03546</v>
      </c>
      <c r="N29" s="440">
        <f t="shared" si="1"/>
        <v>-600509.14679070981</v>
      </c>
      <c r="O29" s="518">
        <f t="shared" si="2"/>
        <v>360611235379.30627</v>
      </c>
      <c r="P29" s="467">
        <f t="shared" si="3"/>
        <v>1417618.8965846947</v>
      </c>
      <c r="Q29" s="467">
        <f t="shared" si="4"/>
        <v>943381.3849951321</v>
      </c>
      <c r="R29" s="467">
        <f t="shared" si="5"/>
        <v>1891856.4081742573</v>
      </c>
      <c r="S29" s="468">
        <f t="shared" si="6"/>
        <v>0.73491859195428044</v>
      </c>
      <c r="T29" s="468">
        <f t="shared" si="7"/>
        <v>0.73491859195428044</v>
      </c>
      <c r="U29" s="519">
        <f t="shared" si="8"/>
        <v>1978</v>
      </c>
      <c r="V29" s="520">
        <f t="shared" si="9"/>
        <v>359995.48750384717</v>
      </c>
      <c r="W29" s="442">
        <f t="shared" si="10"/>
        <v>1396704.5588815042</v>
      </c>
      <c r="X29" s="442">
        <f t="shared" si="11"/>
        <v>817109.74979398493</v>
      </c>
      <c r="Y29" s="521">
        <f t="shared" si="12"/>
        <v>922467.04729194159</v>
      </c>
      <c r="Z29" s="522">
        <f t="shared" si="13"/>
        <v>1870942.070471067</v>
      </c>
      <c r="AB29" s="801">
        <f t="shared" si="14"/>
        <v>83</v>
      </c>
      <c r="AC29" s="523">
        <f t="shared" si="15"/>
        <v>1102430.580723501</v>
      </c>
    </row>
    <row r="30" spans="1:29">
      <c r="A30" s="134">
        <v>1979</v>
      </c>
      <c r="B30" s="440">
        <f t="shared" si="0"/>
        <v>1984</v>
      </c>
      <c r="C30" s="515">
        <f>VLOOKUP($A30,'Brd Tbl'!$A$8:$AX$64,16)</f>
        <v>346502.19282529014</v>
      </c>
      <c r="D30" s="515">
        <f>VLOOKUP($A30,'Brd Tbl'!$A$8:$AX$64,22)</f>
        <v>1424421.7932741994</v>
      </c>
      <c r="E30" s="7">
        <v>47</v>
      </c>
      <c r="F30" s="7">
        <v>45</v>
      </c>
      <c r="G30" s="580">
        <v>470517.14840185654</v>
      </c>
      <c r="H30" s="576">
        <v>2.5668316780155176</v>
      </c>
      <c r="I30" s="579">
        <v>0.37156249251417994</v>
      </c>
      <c r="J30" s="7">
        <v>1359929.9534476525</v>
      </c>
      <c r="K30" s="7">
        <v>357113.29989419889</v>
      </c>
      <c r="L30" s="581">
        <v>0.51468542284624497</v>
      </c>
      <c r="M30" s="582">
        <v>135170134486.39917</v>
      </c>
      <c r="N30" s="440">
        <f t="shared" si="1"/>
        <v>64491.839826546842</v>
      </c>
      <c r="O30" s="518">
        <f t="shared" si="2"/>
        <v>4159197404.2129736</v>
      </c>
      <c r="P30" s="467">
        <f t="shared" si="3"/>
        <v>1359929.9534476525</v>
      </c>
      <c r="Q30" s="467">
        <f t="shared" si="4"/>
        <v>885692.44185808988</v>
      </c>
      <c r="R30" s="467">
        <f t="shared" si="5"/>
        <v>1834167.465037215</v>
      </c>
      <c r="S30" s="468">
        <f t="shared" si="6"/>
        <v>-4.5275802526374469E-2</v>
      </c>
      <c r="T30" s="468">
        <f t="shared" si="7"/>
        <v>4.5275802526374469E-2</v>
      </c>
      <c r="U30" s="519">
        <f t="shared" si="8"/>
        <v>1979</v>
      </c>
      <c r="V30" s="520">
        <f t="shared" si="9"/>
        <v>346502.19282529014</v>
      </c>
      <c r="W30" s="442">
        <f t="shared" si="10"/>
        <v>1361975.6010525185</v>
      </c>
      <c r="X30" s="442">
        <f t="shared" si="11"/>
        <v>1424421.7932741994</v>
      </c>
      <c r="Y30" s="521">
        <f t="shared" si="12"/>
        <v>887738.08946295583</v>
      </c>
      <c r="Z30" s="522">
        <f t="shared" si="13"/>
        <v>1836213.112642081</v>
      </c>
      <c r="AB30" s="801">
        <f t="shared" si="14"/>
        <v>84</v>
      </c>
      <c r="AC30" s="523">
        <f t="shared" si="15"/>
        <v>1102430.580723501</v>
      </c>
    </row>
    <row r="31" spans="1:29">
      <c r="A31" s="134">
        <v>1980</v>
      </c>
      <c r="B31" s="440">
        <f t="shared" si="0"/>
        <v>1985</v>
      </c>
      <c r="C31" s="515">
        <f>VLOOKUP($A31,'Brd Tbl'!$A$8:$AX$64,16)</f>
        <v>203458.33386630402</v>
      </c>
      <c r="D31" s="515">
        <f>VLOOKUP($A31,'Brd Tbl'!$A$8:$AX$64,22)</f>
        <v>1044206.836082815</v>
      </c>
      <c r="E31" s="7">
        <v>47</v>
      </c>
      <c r="F31" s="7">
        <v>45</v>
      </c>
      <c r="G31" s="580">
        <v>468503.704855841</v>
      </c>
      <c r="H31" s="576">
        <v>2.5761236085627353</v>
      </c>
      <c r="I31" s="579">
        <v>0.36989753694818744</v>
      </c>
      <c r="J31" s="7">
        <v>992637.52208766586</v>
      </c>
      <c r="K31" s="7">
        <v>357157.73837100429</v>
      </c>
      <c r="L31" s="581">
        <v>0.51873312014285367</v>
      </c>
      <c r="M31" s="582">
        <v>135202045194.02219</v>
      </c>
      <c r="N31" s="440">
        <f t="shared" si="1"/>
        <v>51569.313995149103</v>
      </c>
      <c r="O31" s="518">
        <f t="shared" si="2"/>
        <v>2659394145.9302812</v>
      </c>
      <c r="P31" s="467">
        <f t="shared" si="3"/>
        <v>992637.52208766586</v>
      </c>
      <c r="Q31" s="467">
        <f t="shared" si="4"/>
        <v>518400.01049810322</v>
      </c>
      <c r="R31" s="467">
        <f t="shared" si="5"/>
        <v>1466875.0336772285</v>
      </c>
      <c r="S31" s="468">
        <f t="shared" si="6"/>
        <v>-4.9386110311826374E-2</v>
      </c>
      <c r="T31" s="468">
        <f t="shared" si="7"/>
        <v>4.9386110311826374E-2</v>
      </c>
      <c r="U31" s="519">
        <f t="shared" si="8"/>
        <v>1980</v>
      </c>
      <c r="V31" s="520">
        <f t="shared" si="9"/>
        <v>203458.33386630402</v>
      </c>
      <c r="W31" s="442">
        <f t="shared" si="10"/>
        <v>993810.20751252549</v>
      </c>
      <c r="X31" s="442">
        <f t="shared" si="11"/>
        <v>1044206.836082815</v>
      </c>
      <c r="Y31" s="521">
        <f t="shared" si="12"/>
        <v>519572.69592296286</v>
      </c>
      <c r="Z31" s="522">
        <f t="shared" si="13"/>
        <v>1468047.7191020881</v>
      </c>
      <c r="AB31" s="801">
        <f t="shared" si="14"/>
        <v>85</v>
      </c>
      <c r="AC31" s="523">
        <f t="shared" si="15"/>
        <v>1102430.580723501</v>
      </c>
    </row>
    <row r="32" spans="1:29">
      <c r="A32" s="134">
        <v>1981</v>
      </c>
      <c r="B32" s="440">
        <f t="shared" si="0"/>
        <v>1986</v>
      </c>
      <c r="C32" s="515">
        <f>VLOOKUP($A32,'Brd Tbl'!$A$8:$AX$64,16)</f>
        <v>157083.49997006214</v>
      </c>
      <c r="D32" s="515">
        <f>VLOOKUP($A32,'Brd Tbl'!$A$8:$AX$64,22)</f>
        <v>729707.86718836357</v>
      </c>
      <c r="E32" s="7">
        <v>47</v>
      </c>
      <c r="F32" s="7">
        <v>45</v>
      </c>
      <c r="G32" s="580">
        <v>476729.95791653986</v>
      </c>
      <c r="H32" s="576">
        <v>2.5596553435107814</v>
      </c>
      <c r="I32" s="579">
        <v>0.37051827710113372</v>
      </c>
      <c r="J32" s="7">
        <v>878809.57799228514</v>
      </c>
      <c r="K32" s="7">
        <v>356566.70661537163</v>
      </c>
      <c r="L32" s="581">
        <v>0.51469270757225216</v>
      </c>
      <c r="M32" s="582">
        <v>134785621236.17697</v>
      </c>
      <c r="N32" s="440">
        <f t="shared" si="1"/>
        <v>-149101.71080392157</v>
      </c>
      <c r="O32" s="518">
        <f t="shared" si="2"/>
        <v>22231320164.656261</v>
      </c>
      <c r="P32" s="467">
        <f t="shared" si="3"/>
        <v>878809.57799228514</v>
      </c>
      <c r="Q32" s="467">
        <f t="shared" si="4"/>
        <v>404572.0664027225</v>
      </c>
      <c r="R32" s="467">
        <f t="shared" si="5"/>
        <v>1353047.0895818477</v>
      </c>
      <c r="S32" s="468">
        <f t="shared" si="6"/>
        <v>0.20433068835947346</v>
      </c>
      <c r="T32" s="468">
        <f t="shared" si="7"/>
        <v>0.20433068835947346</v>
      </c>
      <c r="U32" s="519">
        <f t="shared" si="8"/>
        <v>1981</v>
      </c>
      <c r="V32" s="520">
        <f t="shared" si="9"/>
        <v>157083.49997006214</v>
      </c>
      <c r="W32" s="442">
        <f t="shared" si="10"/>
        <v>874450.94877876132</v>
      </c>
      <c r="X32" s="442">
        <f t="shared" si="11"/>
        <v>729707.86718836357</v>
      </c>
      <c r="Y32" s="521">
        <f t="shared" si="12"/>
        <v>400213.43718919868</v>
      </c>
      <c r="Z32" s="522">
        <f t="shared" si="13"/>
        <v>1348688.4603683241</v>
      </c>
      <c r="AB32" s="801">
        <f t="shared" si="14"/>
        <v>86</v>
      </c>
      <c r="AC32" s="523">
        <f t="shared" si="15"/>
        <v>1102430.580723501</v>
      </c>
    </row>
    <row r="33" spans="1:35">
      <c r="A33" s="134">
        <v>1982</v>
      </c>
      <c r="B33" s="440">
        <f t="shared" si="0"/>
        <v>1987</v>
      </c>
      <c r="C33" s="515">
        <f>VLOOKUP($A33,'Brd Tbl'!$A$8:$AX$64,16)</f>
        <v>292198.40738779912</v>
      </c>
      <c r="D33" s="515">
        <f>VLOOKUP($A33,'Brd Tbl'!$A$8:$AX$64,22)</f>
        <v>1361112.3412895144</v>
      </c>
      <c r="E33" s="7">
        <v>47</v>
      </c>
      <c r="F33" s="7">
        <v>45</v>
      </c>
      <c r="G33" s="580">
        <v>468928.30020285258</v>
      </c>
      <c r="H33" s="576">
        <v>2.5667096416589978</v>
      </c>
      <c r="I33" s="579">
        <v>0.36942232629683019</v>
      </c>
      <c r="J33" s="7">
        <v>1218916.7697225204</v>
      </c>
      <c r="K33" s="7">
        <v>356623.72678069072</v>
      </c>
      <c r="L33" s="581">
        <v>0.51754694735430162</v>
      </c>
      <c r="M33" s="582">
        <v>134828424206.20659</v>
      </c>
      <c r="N33" s="440">
        <f t="shared" si="1"/>
        <v>142195.57156699407</v>
      </c>
      <c r="O33" s="518">
        <f t="shared" si="2"/>
        <v>20219580573.264133</v>
      </c>
      <c r="P33" s="467">
        <f t="shared" si="3"/>
        <v>1218916.7697225204</v>
      </c>
      <c r="Q33" s="467">
        <f t="shared" si="4"/>
        <v>744679.25813295774</v>
      </c>
      <c r="R33" s="467">
        <f t="shared" si="5"/>
        <v>1693154.2813120829</v>
      </c>
      <c r="S33" s="468">
        <f t="shared" si="6"/>
        <v>-0.10447012142456834</v>
      </c>
      <c r="T33" s="468">
        <f t="shared" si="7"/>
        <v>0.10447012142456834</v>
      </c>
      <c r="U33" s="519">
        <f t="shared" si="8"/>
        <v>1982</v>
      </c>
      <c r="V33" s="520">
        <f t="shared" si="9"/>
        <v>292198.40738779912</v>
      </c>
      <c r="W33" s="442">
        <f t="shared" si="10"/>
        <v>1222208.856210731</v>
      </c>
      <c r="X33" s="442">
        <f t="shared" si="11"/>
        <v>1361112.3412895144</v>
      </c>
      <c r="Y33" s="521">
        <f t="shared" si="12"/>
        <v>747971.34462116833</v>
      </c>
      <c r="Z33" s="522">
        <f t="shared" si="13"/>
        <v>1696446.3678002935</v>
      </c>
      <c r="AB33" s="801">
        <f t="shared" si="14"/>
        <v>87</v>
      </c>
      <c r="AC33" s="523">
        <f t="shared" si="15"/>
        <v>1102430.580723501</v>
      </c>
    </row>
    <row r="34" spans="1:35">
      <c r="A34" s="134">
        <v>1983</v>
      </c>
      <c r="B34" s="440">
        <f t="shared" si="0"/>
        <v>1988</v>
      </c>
      <c r="C34" s="515">
        <f>VLOOKUP($A34,'Brd Tbl'!$A$8:$AX$64,16)</f>
        <v>113889.25746653602</v>
      </c>
      <c r="D34" s="515">
        <f>VLOOKUP($A34,'Brd Tbl'!$A$8:$AX$64,22)</f>
        <v>536879.18023254443</v>
      </c>
      <c r="E34" s="7">
        <v>47</v>
      </c>
      <c r="F34" s="7">
        <v>45</v>
      </c>
      <c r="G34" s="580">
        <v>483228.22742804931</v>
      </c>
      <c r="H34" s="576">
        <v>2.5405462799662315</v>
      </c>
      <c r="I34" s="579">
        <v>0.37144228006933483</v>
      </c>
      <c r="J34" s="7">
        <v>772569.15681277378</v>
      </c>
      <c r="K34" s="7">
        <v>355575.06692043337</v>
      </c>
      <c r="L34" s="581">
        <v>0.50970362181551332</v>
      </c>
      <c r="M34" s="582">
        <v>134076718153.28902</v>
      </c>
      <c r="N34" s="440">
        <f t="shared" si="1"/>
        <v>-235689.97658022936</v>
      </c>
      <c r="O34" s="518">
        <f t="shared" si="2"/>
        <v>55549765060.389061</v>
      </c>
      <c r="P34" s="467">
        <f t="shared" si="3"/>
        <v>772569.15681277378</v>
      </c>
      <c r="Q34" s="467">
        <f t="shared" si="4"/>
        <v>298331.64522321115</v>
      </c>
      <c r="R34" s="467">
        <f t="shared" si="5"/>
        <v>1246806.6684023365</v>
      </c>
      <c r="S34" s="468">
        <f t="shared" si="6"/>
        <v>0.43900003065520687</v>
      </c>
      <c r="T34" s="468">
        <f t="shared" si="7"/>
        <v>0.43900003065520687</v>
      </c>
      <c r="U34" s="519">
        <f t="shared" si="8"/>
        <v>1983</v>
      </c>
      <c r="V34" s="520">
        <f t="shared" si="9"/>
        <v>113889.25746653602</v>
      </c>
      <c r="W34" s="442">
        <f t="shared" si="10"/>
        <v>763277.87636792671</v>
      </c>
      <c r="X34" s="442">
        <f t="shared" si="11"/>
        <v>536879.18023254443</v>
      </c>
      <c r="Y34" s="521">
        <f t="shared" si="12"/>
        <v>289040.36477836408</v>
      </c>
      <c r="Z34" s="522">
        <f t="shared" si="13"/>
        <v>1237515.3879574894</v>
      </c>
      <c r="AB34" s="801">
        <f t="shared" si="14"/>
        <v>88</v>
      </c>
      <c r="AC34" s="523">
        <f t="shared" si="15"/>
        <v>1102430.580723501</v>
      </c>
    </row>
    <row r="35" spans="1:35">
      <c r="A35" s="134">
        <v>1984</v>
      </c>
      <c r="B35" s="440">
        <f t="shared" si="0"/>
        <v>1989</v>
      </c>
      <c r="C35" s="515">
        <f>VLOOKUP($A35,'Brd Tbl'!$A$8:$AX$64,16)</f>
        <v>294557.28228182066</v>
      </c>
      <c r="D35" s="515">
        <f>VLOOKUP($A35,'Brd Tbl'!$A$8:$AX$64,22)</f>
        <v>1012944.0742998301</v>
      </c>
      <c r="E35" s="7">
        <v>47</v>
      </c>
      <c r="F35" s="7">
        <v>45</v>
      </c>
      <c r="G35" s="580">
        <v>471908.68951570243</v>
      </c>
      <c r="H35" s="576">
        <v>2.5853355040621584</v>
      </c>
      <c r="I35" s="579">
        <v>0.36857177070288921</v>
      </c>
      <c r="J35" s="7">
        <v>1233438.0893789527</v>
      </c>
      <c r="K35" s="7">
        <v>355758.74675471621</v>
      </c>
      <c r="L35" s="581">
        <v>0.52230711471209212</v>
      </c>
      <c r="M35" s="582">
        <v>134224210799.55872</v>
      </c>
      <c r="N35" s="440">
        <f t="shared" si="1"/>
        <v>-220494.01507912262</v>
      </c>
      <c r="O35" s="518">
        <f t="shared" si="2"/>
        <v>48617610685.712357</v>
      </c>
      <c r="P35" s="467">
        <f t="shared" si="3"/>
        <v>1233438.0893789527</v>
      </c>
      <c r="Q35" s="467">
        <f t="shared" si="4"/>
        <v>759200.57778939011</v>
      </c>
      <c r="R35" s="467">
        <f t="shared" si="5"/>
        <v>1707675.6009685155</v>
      </c>
      <c r="S35" s="468">
        <f t="shared" si="6"/>
        <v>0.21767639564063107</v>
      </c>
      <c r="T35" s="468">
        <f t="shared" si="7"/>
        <v>0.21767639564063107</v>
      </c>
      <c r="U35" s="519">
        <f t="shared" si="8"/>
        <v>1984</v>
      </c>
      <c r="V35" s="520">
        <f t="shared" si="9"/>
        <v>294557.28228182066</v>
      </c>
      <c r="W35" s="442">
        <f t="shared" si="10"/>
        <v>1228280.113725659</v>
      </c>
      <c r="X35" s="442">
        <f t="shared" si="11"/>
        <v>1012944.0742998301</v>
      </c>
      <c r="Y35" s="521">
        <f t="shared" si="12"/>
        <v>754042.60213609634</v>
      </c>
      <c r="Z35" s="522">
        <f t="shared" si="13"/>
        <v>1702517.6253152215</v>
      </c>
      <c r="AB35" s="801">
        <f t="shared" si="14"/>
        <v>89</v>
      </c>
      <c r="AC35" s="523">
        <f t="shared" si="15"/>
        <v>1102430.580723501</v>
      </c>
    </row>
    <row r="36" spans="1:35">
      <c r="A36" s="134">
        <v>1985</v>
      </c>
      <c r="B36" s="440">
        <f t="shared" si="0"/>
        <v>1990</v>
      </c>
      <c r="C36" s="515">
        <f>VLOOKUP($A36,'Brd Tbl'!$A$8:$AX$64,16)</f>
        <v>240741.58041960336</v>
      </c>
      <c r="D36" s="515">
        <f>VLOOKUP($A36,'Brd Tbl'!$A$8:$AX$64,22)</f>
        <v>641426.45512191299</v>
      </c>
      <c r="E36" s="7">
        <v>47</v>
      </c>
      <c r="F36" s="7">
        <v>45</v>
      </c>
      <c r="G36" s="580">
        <v>480282.25026097859</v>
      </c>
      <c r="H36" s="576">
        <v>2.5713824504256082</v>
      </c>
      <c r="I36" s="579">
        <v>0.3629590239072007</v>
      </c>
      <c r="J36" s="7">
        <v>1099320.925239672</v>
      </c>
      <c r="K36" s="7">
        <v>350795.26566107327</v>
      </c>
      <c r="L36" s="581">
        <v>0.52726181719327403</v>
      </c>
      <c r="M36" s="582">
        <v>130797620691.50102</v>
      </c>
      <c r="N36" s="440">
        <f t="shared" si="1"/>
        <v>-457894.47011775896</v>
      </c>
      <c r="O36" s="518">
        <f t="shared" si="2"/>
        <v>209667345764.42325</v>
      </c>
      <c r="P36" s="467">
        <f t="shared" si="3"/>
        <v>1099320.925239672</v>
      </c>
      <c r="Q36" s="467">
        <f t="shared" si="4"/>
        <v>625083.41365010932</v>
      </c>
      <c r="R36" s="467">
        <f t="shared" si="5"/>
        <v>1573558.4368292345</v>
      </c>
      <c r="S36" s="468">
        <f t="shared" si="6"/>
        <v>0.71386901251325696</v>
      </c>
      <c r="T36" s="468">
        <f t="shared" si="7"/>
        <v>0.71386901251325696</v>
      </c>
      <c r="U36" s="519">
        <f t="shared" si="8"/>
        <v>1985</v>
      </c>
      <c r="V36" s="520">
        <f t="shared" si="9"/>
        <v>240741.58041960336</v>
      </c>
      <c r="W36" s="442">
        <f t="shared" si="10"/>
        <v>1089769.5953509067</v>
      </c>
      <c r="X36" s="442">
        <f t="shared" si="11"/>
        <v>641426.45512191299</v>
      </c>
      <c r="Y36" s="521">
        <f t="shared" si="12"/>
        <v>615532.08376134408</v>
      </c>
      <c r="Z36" s="522">
        <f t="shared" si="13"/>
        <v>1564007.1069404692</v>
      </c>
      <c r="AB36" s="801">
        <f t="shared" si="14"/>
        <v>90</v>
      </c>
      <c r="AC36" s="523">
        <f t="shared" si="15"/>
        <v>1102430.580723501</v>
      </c>
    </row>
    <row r="37" spans="1:35">
      <c r="A37" s="134">
        <v>1986</v>
      </c>
      <c r="B37" s="440">
        <f t="shared" si="0"/>
        <v>1991</v>
      </c>
      <c r="C37" s="515">
        <f>VLOOKUP($A37,'Brd Tbl'!$A$8:$AX$64,16)</f>
        <v>283682.55642391811</v>
      </c>
      <c r="D37" s="515">
        <f>VLOOKUP($A37,'Brd Tbl'!$A$8:$AX$64,22)</f>
        <v>1292395.1381037389</v>
      </c>
      <c r="E37" s="7">
        <v>47</v>
      </c>
      <c r="F37" s="7">
        <v>45</v>
      </c>
      <c r="G37" s="580">
        <v>469129.69800762099</v>
      </c>
      <c r="H37" s="576">
        <v>2.569959005357374</v>
      </c>
      <c r="I37" s="579">
        <v>0.36963374399346532</v>
      </c>
      <c r="J37" s="7">
        <v>1198182.2385520707</v>
      </c>
      <c r="K37" s="7">
        <v>356968.58739685593</v>
      </c>
      <c r="L37" s="581">
        <v>0.51789302962212258</v>
      </c>
      <c r="M37" s="582">
        <v>135069775485.59656</v>
      </c>
      <c r="N37" s="440">
        <f t="shared" si="1"/>
        <v>94212.899551668204</v>
      </c>
      <c r="O37" s="518">
        <f t="shared" si="2"/>
        <v>8876070441.9327221</v>
      </c>
      <c r="P37" s="467">
        <f t="shared" si="3"/>
        <v>1198182.2385520707</v>
      </c>
      <c r="Q37" s="467">
        <f t="shared" si="4"/>
        <v>723944.72696250805</v>
      </c>
      <c r="R37" s="467">
        <f t="shared" si="5"/>
        <v>1672419.7501416332</v>
      </c>
      <c r="S37" s="468">
        <f t="shared" si="6"/>
        <v>-7.289790620065445E-2</v>
      </c>
      <c r="T37" s="468">
        <f t="shared" si="7"/>
        <v>7.289790620065445E-2</v>
      </c>
      <c r="U37" s="519">
        <f t="shared" si="8"/>
        <v>1986</v>
      </c>
      <c r="V37" s="520">
        <f t="shared" si="9"/>
        <v>283682.55642391811</v>
      </c>
      <c r="W37" s="520">
        <f t="shared" si="10"/>
        <v>1200290.8120230101</v>
      </c>
      <c r="X37" s="442">
        <f t="shared" si="11"/>
        <v>1292395.1381037389</v>
      </c>
      <c r="Y37" s="521">
        <f t="shared" si="12"/>
        <v>726053.30043344747</v>
      </c>
      <c r="Z37" s="522">
        <f t="shared" si="13"/>
        <v>1674528.3236125726</v>
      </c>
      <c r="AB37" s="801">
        <f t="shared" si="14"/>
        <v>91</v>
      </c>
      <c r="AC37" s="523">
        <f t="shared" si="15"/>
        <v>1102430.580723501</v>
      </c>
    </row>
    <row r="38" spans="1:35">
      <c r="A38" s="134">
        <v>1987</v>
      </c>
      <c r="B38" s="440">
        <f t="shared" si="0"/>
        <v>1992</v>
      </c>
      <c r="C38" s="515">
        <f>VLOOKUP($A38,'Brd Tbl'!$A$8:$AX$64,16)</f>
        <v>229875.14425105081</v>
      </c>
      <c r="D38" s="515">
        <f>VLOOKUP($A38,'Brd Tbl'!$A$8:$AX$64,22)</f>
        <v>1075295.1477904324</v>
      </c>
      <c r="E38" s="7">
        <v>47</v>
      </c>
      <c r="F38" s="7">
        <v>45</v>
      </c>
      <c r="G38" s="580">
        <v>469806.01590530411</v>
      </c>
      <c r="H38" s="576">
        <v>2.5740267141150754</v>
      </c>
      <c r="I38" s="579">
        <v>0.36966524330895156</v>
      </c>
      <c r="J38" s="7">
        <v>1061510.7781185654</v>
      </c>
      <c r="K38" s="7">
        <v>357232.79597618128</v>
      </c>
      <c r="L38" s="581">
        <v>0.51864019392537031</v>
      </c>
      <c r="M38" s="582">
        <v>135254585306.76001</v>
      </c>
      <c r="N38" s="440">
        <f t="shared" si="1"/>
        <v>13784.369671866996</v>
      </c>
      <c r="O38" s="518">
        <f t="shared" si="2"/>
        <v>190008847.25068665</v>
      </c>
      <c r="P38" s="467">
        <f t="shared" si="3"/>
        <v>1061510.7781185654</v>
      </c>
      <c r="Q38" s="467">
        <f t="shared" si="4"/>
        <v>587273.26652900281</v>
      </c>
      <c r="R38" s="467">
        <f t="shared" si="5"/>
        <v>1535748.2897081282</v>
      </c>
      <c r="S38" s="468">
        <f t="shared" si="6"/>
        <v>-1.2819149886607201E-2</v>
      </c>
      <c r="T38" s="468">
        <f t="shared" si="7"/>
        <v>1.2819149886607201E-2</v>
      </c>
      <c r="U38" s="519">
        <f t="shared" si="8"/>
        <v>1987</v>
      </c>
      <c r="V38" s="442">
        <f t="shared" si="9"/>
        <v>229875.14425105081</v>
      </c>
      <c r="W38" s="520">
        <f t="shared" si="10"/>
        <v>1061801.6295990916</v>
      </c>
      <c r="X38" s="442">
        <f t="shared" si="11"/>
        <v>1075295.1477904324</v>
      </c>
      <c r="Y38" s="521">
        <f t="shared" si="12"/>
        <v>587564.11800952896</v>
      </c>
      <c r="Z38" s="522">
        <f t="shared" si="13"/>
        <v>1536039.1411886541</v>
      </c>
      <c r="AB38" s="801">
        <f t="shared" si="14"/>
        <v>92</v>
      </c>
      <c r="AC38" s="523">
        <f t="shared" si="15"/>
        <v>1102430.580723501</v>
      </c>
    </row>
    <row r="39" spans="1:35">
      <c r="A39" s="134">
        <v>1988</v>
      </c>
      <c r="B39" s="440">
        <f t="shared" si="0"/>
        <v>1993</v>
      </c>
      <c r="C39" s="515">
        <f>VLOOKUP($A39,'Brd Tbl'!$A$8:$AX$64,16)</f>
        <v>237957.34811608869</v>
      </c>
      <c r="D39" s="515">
        <f>VLOOKUP($A39,'Brd Tbl'!$A$8:$AX$64,22)</f>
        <v>1329979.1552080857</v>
      </c>
      <c r="E39" s="7">
        <v>47</v>
      </c>
      <c r="F39" s="7">
        <v>45</v>
      </c>
      <c r="G39" s="580">
        <v>464374.91060981713</v>
      </c>
      <c r="H39" s="576">
        <v>2.5758773454804307</v>
      </c>
      <c r="I39" s="579">
        <v>0.36761596744316943</v>
      </c>
      <c r="J39" s="7">
        <v>1077323.8528126504</v>
      </c>
      <c r="K39" s="7">
        <v>355289.31610286323</v>
      </c>
      <c r="L39" s="581">
        <v>0.52177392035658154</v>
      </c>
      <c r="M39" s="582">
        <v>133900442902.90303</v>
      </c>
      <c r="N39" s="440">
        <f t="shared" si="1"/>
        <v>252655.30239543528</v>
      </c>
      <c r="O39" s="518">
        <f t="shared" si="2"/>
        <v>63834701828.528847</v>
      </c>
      <c r="P39" s="467">
        <f t="shared" si="3"/>
        <v>1077323.8528126504</v>
      </c>
      <c r="Q39" s="467">
        <f t="shared" si="4"/>
        <v>603086.34122308774</v>
      </c>
      <c r="R39" s="467">
        <f t="shared" si="5"/>
        <v>1551561.3644022131</v>
      </c>
      <c r="S39" s="468">
        <f t="shared" si="6"/>
        <v>-0.18996937012588394</v>
      </c>
      <c r="T39" s="468">
        <f t="shared" si="7"/>
        <v>0.18996937012588394</v>
      </c>
      <c r="U39" s="519">
        <f t="shared" si="8"/>
        <v>1988</v>
      </c>
      <c r="V39" s="442">
        <f t="shared" si="9"/>
        <v>237957.34811608869</v>
      </c>
      <c r="W39" s="520">
        <f t="shared" si="10"/>
        <v>1082603.5555838714</v>
      </c>
      <c r="X39" s="442">
        <f t="shared" si="11"/>
        <v>1329979.1552080857</v>
      </c>
      <c r="Y39" s="521">
        <f t="shared" si="12"/>
        <v>608366.0439943088</v>
      </c>
      <c r="Z39" s="522">
        <f t="shared" si="13"/>
        <v>1556841.067173434</v>
      </c>
      <c r="AB39" s="801">
        <f t="shared" si="14"/>
        <v>93</v>
      </c>
      <c r="AC39" s="523">
        <f t="shared" si="15"/>
        <v>1102430.580723501</v>
      </c>
    </row>
    <row r="40" spans="1:35">
      <c r="A40" s="134">
        <v>1989</v>
      </c>
      <c r="B40" s="440">
        <f t="shared" si="0"/>
        <v>1994</v>
      </c>
      <c r="C40" s="515">
        <f>VLOOKUP($A40,'Brd Tbl'!$A$8:$AX$64,16)</f>
        <v>249913.77094685714</v>
      </c>
      <c r="D40" s="515">
        <f>VLOOKUP($A40,'Brd Tbl'!$A$8:$AX$64,22)</f>
        <v>1332570.2372110838</v>
      </c>
      <c r="E40" s="7">
        <v>47</v>
      </c>
      <c r="F40" s="7">
        <v>45</v>
      </c>
      <c r="G40" s="580">
        <v>465737.01884975366</v>
      </c>
      <c r="H40" s="576">
        <v>2.5727745469270671</v>
      </c>
      <c r="I40" s="579">
        <v>0.36804204330083701</v>
      </c>
      <c r="J40" s="7">
        <v>1108708.8076683888</v>
      </c>
      <c r="K40" s="7">
        <v>355709.12724509614</v>
      </c>
      <c r="L40" s="581">
        <v>0.52059422276359479</v>
      </c>
      <c r="M40" s="582">
        <v>134192374013.36327</v>
      </c>
      <c r="N40" s="440">
        <f t="shared" si="1"/>
        <v>223861.42954269494</v>
      </c>
      <c r="O40" s="518">
        <f t="shared" si="2"/>
        <v>50113939636.898972</v>
      </c>
      <c r="P40" s="467">
        <f t="shared" si="3"/>
        <v>1108708.8076683888</v>
      </c>
      <c r="Q40" s="467">
        <f t="shared" ref="Q40:Q60" si="16">$P40-(SQRT($O$64)*$Q$64)</f>
        <v>634471.29607882618</v>
      </c>
      <c r="R40" s="467">
        <f>$P40+SQRT(ln13xln12!$O$64)*$Q$64</f>
        <v>1108709.2844287199</v>
      </c>
      <c r="S40" s="468">
        <f t="shared" si="6"/>
        <v>-0.16799221781450796</v>
      </c>
      <c r="T40" s="468">
        <f t="shared" si="7"/>
        <v>0.16799221781450796</v>
      </c>
      <c r="U40" s="519">
        <f t="shared" si="8"/>
        <v>1989</v>
      </c>
      <c r="V40" s="442">
        <f t="shared" si="9"/>
        <v>249913.77094685714</v>
      </c>
      <c r="W40" s="520">
        <f t="shared" si="10"/>
        <v>1113376.9222202022</v>
      </c>
      <c r="X40" s="522">
        <f t="shared" si="11"/>
        <v>1332570.2372110838</v>
      </c>
      <c r="Y40" s="521">
        <f t="shared" si="12"/>
        <v>639139.41063063953</v>
      </c>
      <c r="Z40" s="522">
        <f t="shared" si="13"/>
        <v>1587614.4338097647</v>
      </c>
      <c r="AB40" s="801">
        <f t="shared" si="14"/>
        <v>94</v>
      </c>
      <c r="AC40" s="523">
        <f t="shared" si="15"/>
        <v>1102430.580723501</v>
      </c>
      <c r="AH40" s="54" t="s">
        <v>587</v>
      </c>
      <c r="AI40" s="470">
        <f>$L62</f>
        <v>0.51865494405647705</v>
      </c>
    </row>
    <row r="41" spans="1:35">
      <c r="A41" s="134">
        <v>1990</v>
      </c>
      <c r="B41" s="440">
        <f t="shared" si="0"/>
        <v>1995</v>
      </c>
      <c r="C41" s="515">
        <f>VLOOKUP($A41,'Brd Tbl'!$A$8:$AX$64,16)</f>
        <v>210751.78888782303</v>
      </c>
      <c r="D41" s="515">
        <f>VLOOKUP($A41,'Brd Tbl'!$A$8:$AX$64,22)</f>
        <v>1060308.8407004261</v>
      </c>
      <c r="E41" s="7">
        <v>47</v>
      </c>
      <c r="F41" s="7">
        <v>45</v>
      </c>
      <c r="G41" s="580">
        <v>468685.51816251304</v>
      </c>
      <c r="H41" s="576">
        <v>2.5756177449995143</v>
      </c>
      <c r="I41" s="579">
        <v>0.36979232660987743</v>
      </c>
      <c r="J41" s="7">
        <v>1011501.5654123815</v>
      </c>
      <c r="K41" s="7">
        <v>357166.1225317872</v>
      </c>
      <c r="L41" s="581">
        <v>0.51877710118553522</v>
      </c>
      <c r="M41" s="582">
        <v>135207944003.06235</v>
      </c>
      <c r="N41" s="440">
        <f t="shared" si="1"/>
        <v>48807.275288044591</v>
      </c>
      <c r="O41" s="518">
        <f t="shared" si="2"/>
        <v>2382150121.0429683</v>
      </c>
      <c r="P41" s="467">
        <f t="shared" si="3"/>
        <v>1011501.5654123815</v>
      </c>
      <c r="Q41" s="467">
        <f t="shared" si="16"/>
        <v>537264.05382281891</v>
      </c>
      <c r="R41" s="467">
        <f>$P41+SQRT(ln13xln12!$O$64)*$Q$64</f>
        <v>1011502.0421727127</v>
      </c>
      <c r="S41" s="468">
        <f t="shared" si="6"/>
        <v>-4.603118772055427E-2</v>
      </c>
      <c r="T41" s="468">
        <f t="shared" si="7"/>
        <v>4.603118772055427E-2</v>
      </c>
      <c r="U41" s="519">
        <f t="shared" si="8"/>
        <v>1990</v>
      </c>
      <c r="V41" s="442">
        <f t="shared" si="9"/>
        <v>210751.78888782303</v>
      </c>
      <c r="W41" s="520">
        <f t="shared" si="10"/>
        <v>1012582.0566349243</v>
      </c>
      <c r="X41" s="522">
        <f t="shared" si="11"/>
        <v>1060308.8407004261</v>
      </c>
      <c r="Y41" s="521">
        <f t="shared" si="12"/>
        <v>538344.54504536162</v>
      </c>
      <c r="Z41" s="522">
        <f t="shared" si="13"/>
        <v>1486819.5682244869</v>
      </c>
      <c r="AB41" s="801">
        <f t="shared" si="14"/>
        <v>95</v>
      </c>
      <c r="AC41" s="523">
        <f t="shared" si="15"/>
        <v>1102430.580723501</v>
      </c>
      <c r="AH41" s="54"/>
      <c r="AI41" s="1001"/>
    </row>
    <row r="42" spans="1:35">
      <c r="A42" s="134">
        <v>1991</v>
      </c>
      <c r="B42" s="440">
        <f t="shared" si="0"/>
        <v>1996</v>
      </c>
      <c r="C42" s="515">
        <f>VLOOKUP($A42,'Brd Tbl'!$A$8:$AX$64,16)</f>
        <v>443740.93051869422</v>
      </c>
      <c r="D42" s="515">
        <f>VLOOKUP($A42,'Brd Tbl'!$A$8:$AX$64,22)</f>
        <v>1989184.4640360922</v>
      </c>
      <c r="E42" s="7">
        <v>47</v>
      </c>
      <c r="F42" s="7">
        <v>45</v>
      </c>
      <c r="G42" s="580">
        <v>482723.05098418146</v>
      </c>
      <c r="H42" s="576">
        <v>2.4885054100518555</v>
      </c>
      <c r="I42" s="579">
        <v>0.37279276892700597</v>
      </c>
      <c r="J42" s="7">
        <v>1586974.7572413965</v>
      </c>
      <c r="K42" s="7">
        <v>352491.62927831704</v>
      </c>
      <c r="L42" s="581">
        <v>0.4975418405370326</v>
      </c>
      <c r="M42" s="582">
        <v>131816656809.04465</v>
      </c>
      <c r="N42" s="440">
        <f t="shared" si="1"/>
        <v>402209.7067946957</v>
      </c>
      <c r="O42" s="518">
        <f t="shared" si="2"/>
        <v>161772648239.87509</v>
      </c>
      <c r="P42" s="467">
        <f t="shared" si="3"/>
        <v>1586974.7572413965</v>
      </c>
      <c r="Q42" s="467">
        <f t="shared" si="16"/>
        <v>1112737.2456518337</v>
      </c>
      <c r="R42" s="467">
        <f>$P42+SQRT(ln13xln12!$O$64)*$Q$64</f>
        <v>1586975.2340017275</v>
      </c>
      <c r="S42" s="468">
        <f t="shared" si="6"/>
        <v>-0.20219829486230992</v>
      </c>
      <c r="T42" s="468">
        <f t="shared" si="7"/>
        <v>0.20219829486230992</v>
      </c>
      <c r="U42" s="519">
        <f t="shared" si="8"/>
        <v>1991</v>
      </c>
      <c r="V42" s="442">
        <f t="shared" si="9"/>
        <v>443740.93051869422</v>
      </c>
      <c r="W42" s="520">
        <f t="shared" si="10"/>
        <v>1612248.0586802792</v>
      </c>
      <c r="X42" s="522">
        <f t="shared" si="11"/>
        <v>1989184.4640360922</v>
      </c>
      <c r="Y42" s="521">
        <f t="shared" si="12"/>
        <v>1138010.5470907167</v>
      </c>
      <c r="Z42" s="522">
        <f t="shared" si="13"/>
        <v>2086485.5702698417</v>
      </c>
      <c r="AB42" s="801">
        <f t="shared" si="14"/>
        <v>96</v>
      </c>
      <c r="AC42" s="523">
        <f t="shared" si="15"/>
        <v>1102430.580723501</v>
      </c>
    </row>
    <row r="43" spans="1:35">
      <c r="A43" s="134">
        <v>1992</v>
      </c>
      <c r="B43" s="440">
        <f t="shared" si="0"/>
        <v>1997</v>
      </c>
      <c r="C43" s="515">
        <f>VLOOKUP($A43,'Brd Tbl'!$A$8:$AX$64,16)</f>
        <v>505425.03393203206</v>
      </c>
      <c r="D43" s="515">
        <f>VLOOKUP($A43,'Brd Tbl'!$A$8:$AX$64,22)</f>
        <v>2415249.6642813412</v>
      </c>
      <c r="E43" s="7">
        <v>47</v>
      </c>
      <c r="F43" s="7">
        <v>45</v>
      </c>
      <c r="G43" s="580">
        <v>503878.57627784542</v>
      </c>
      <c r="H43" s="576">
        <v>2.3762565279547148</v>
      </c>
      <c r="I43" s="579">
        <v>0.36843884707340285</v>
      </c>
      <c r="J43" s="7">
        <v>1704898.1125505697</v>
      </c>
      <c r="K43" s="7">
        <v>342709.35804547189</v>
      </c>
      <c r="L43" s="581">
        <v>0.48034795354884485</v>
      </c>
      <c r="M43" s="582">
        <v>124522472153.58847</v>
      </c>
      <c r="N43" s="440">
        <f t="shared" si="1"/>
        <v>710351.55173077155</v>
      </c>
      <c r="O43" s="518">
        <f t="shared" si="2"/>
        <v>504599327046.315</v>
      </c>
      <c r="P43" s="467">
        <f t="shared" si="3"/>
        <v>1704898.1125505697</v>
      </c>
      <c r="Q43" s="467">
        <f t="shared" si="16"/>
        <v>1230660.6009610072</v>
      </c>
      <c r="R43" s="467">
        <f>$P43+SQRT(ln13xln12!$O$64)*$Q$64</f>
        <v>1704898.5893109008</v>
      </c>
      <c r="S43" s="468">
        <f t="shared" si="6"/>
        <v>-0.29411102389786981</v>
      </c>
      <c r="T43" s="468">
        <f t="shared" si="7"/>
        <v>0.29411102389786981</v>
      </c>
      <c r="U43" s="519">
        <f t="shared" si="8"/>
        <v>1992</v>
      </c>
      <c r="V43" s="442">
        <f t="shared" si="9"/>
        <v>505425.03393203206</v>
      </c>
      <c r="W43" s="520">
        <f t="shared" si="10"/>
        <v>1771010.2199754706</v>
      </c>
      <c r="X43" s="522">
        <f t="shared" si="11"/>
        <v>2415249.6642813412</v>
      </c>
      <c r="Y43" s="521">
        <f t="shared" si="12"/>
        <v>1296772.708385908</v>
      </c>
      <c r="Z43" s="522">
        <f t="shared" si="13"/>
        <v>2245247.7315650331</v>
      </c>
      <c r="AB43" s="801">
        <f t="shared" si="14"/>
        <v>97</v>
      </c>
      <c r="AC43" s="523">
        <f t="shared" si="15"/>
        <v>1102430.580723501</v>
      </c>
    </row>
    <row r="44" spans="1:35">
      <c r="A44" s="134">
        <v>1993</v>
      </c>
      <c r="B44" s="440">
        <f t="shared" si="0"/>
        <v>1998</v>
      </c>
      <c r="C44" s="515">
        <f>VLOOKUP($A44,'Brd Tbl'!$A$8:$AX$64,16)</f>
        <v>247453.35635972215</v>
      </c>
      <c r="D44" s="515">
        <f>VLOOKUP($A44,'Brd Tbl'!$A$8:$AX$64,22)</f>
        <v>1112912.7648551823</v>
      </c>
      <c r="E44" s="7">
        <v>47</v>
      </c>
      <c r="F44" s="7">
        <v>45</v>
      </c>
      <c r="G44" s="580">
        <v>470028.37910230469</v>
      </c>
      <c r="H44" s="576">
        <v>2.5737822723871435</v>
      </c>
      <c r="I44" s="579">
        <v>0.36962038804146807</v>
      </c>
      <c r="J44" s="7">
        <v>1106919.440943656</v>
      </c>
      <c r="K44" s="7">
        <v>357237.48719584546</v>
      </c>
      <c r="L44" s="581">
        <v>0.51865336476531543</v>
      </c>
      <c r="M44" s="582">
        <v>135257863794.32904</v>
      </c>
      <c r="N44" s="440">
        <f t="shared" si="1"/>
        <v>5993.3239115262404</v>
      </c>
      <c r="O44" s="518">
        <f t="shared" si="2"/>
        <v>35919931.508472197</v>
      </c>
      <c r="P44" s="467">
        <f t="shared" si="3"/>
        <v>1106919.440943656</v>
      </c>
      <c r="Q44" s="467">
        <f t="shared" si="16"/>
        <v>632681.92935409339</v>
      </c>
      <c r="R44" s="467">
        <f>$P44+SQRT(ln13xln12!$O$64)*$Q$64</f>
        <v>1106919.9177039871</v>
      </c>
      <c r="S44" s="468">
        <f t="shared" si="6"/>
        <v>-5.3852593849133554E-3</v>
      </c>
      <c r="T44" s="468">
        <f t="shared" si="7"/>
        <v>5.3852593849133554E-3</v>
      </c>
      <c r="U44" s="519">
        <f t="shared" si="8"/>
        <v>1993</v>
      </c>
      <c r="V44" s="442">
        <f t="shared" si="9"/>
        <v>247453.35635972215</v>
      </c>
      <c r="W44" s="520">
        <f t="shared" si="10"/>
        <v>1107044.3224753656</v>
      </c>
      <c r="X44" s="522">
        <f t="shared" si="11"/>
        <v>1112912.7648551823</v>
      </c>
      <c r="Y44" s="521">
        <f t="shared" si="12"/>
        <v>632806.81088580296</v>
      </c>
      <c r="Z44" s="522">
        <f t="shared" si="13"/>
        <v>1581281.8340649283</v>
      </c>
      <c r="AB44" s="801">
        <f t="shared" si="14"/>
        <v>98</v>
      </c>
      <c r="AC44" s="523">
        <f t="shared" si="15"/>
        <v>1102430.580723501</v>
      </c>
    </row>
    <row r="45" spans="1:35">
      <c r="A45" s="134">
        <v>1994</v>
      </c>
      <c r="B45" s="440">
        <f t="shared" si="0"/>
        <v>1999</v>
      </c>
      <c r="C45" s="515">
        <f>VLOOKUP($A45,'Brd Tbl'!$A$8:$AX$64,16)</f>
        <v>271467.29571051238</v>
      </c>
      <c r="D45" s="515">
        <f>VLOOKUP($A45,'Brd Tbl'!$A$8:$AX$64,22)</f>
        <v>1216630.2738301605</v>
      </c>
      <c r="E45" s="7">
        <v>47</v>
      </c>
      <c r="F45" s="7">
        <v>45</v>
      </c>
      <c r="G45" s="580">
        <v>469464.50354479521</v>
      </c>
      <c r="H45" s="576">
        <v>2.5724447400693848</v>
      </c>
      <c r="I45" s="579">
        <v>0.36968039075183395</v>
      </c>
      <c r="J45" s="7">
        <v>1167799.1204961631</v>
      </c>
      <c r="K45" s="7">
        <v>357166.00772221235</v>
      </c>
      <c r="L45" s="581">
        <v>0.51831276398115544</v>
      </c>
      <c r="M45" s="582">
        <v>135207894398.49034</v>
      </c>
      <c r="N45" s="479">
        <f t="shared" si="1"/>
        <v>48831.153333997354</v>
      </c>
      <c r="O45" s="518">
        <f t="shared" si="2"/>
        <v>2384481535.9283609</v>
      </c>
      <c r="P45" s="467">
        <f t="shared" si="3"/>
        <v>1167799.1204961631</v>
      </c>
      <c r="Q45" s="467">
        <f t="shared" si="16"/>
        <v>693561.60890660051</v>
      </c>
      <c r="R45" s="467">
        <f>$P45+SQRT(ln13xln12!$O$64)*$Q$64</f>
        <v>1167799.5972564942</v>
      </c>
      <c r="S45" s="468">
        <f t="shared" si="6"/>
        <v>-4.0136395077749069E-2</v>
      </c>
      <c r="T45" s="468">
        <f t="shared" si="7"/>
        <v>4.0136395077749069E-2</v>
      </c>
      <c r="U45" s="519">
        <f t="shared" si="8"/>
        <v>1994</v>
      </c>
      <c r="V45" s="442">
        <f t="shared" si="9"/>
        <v>271467.29571051238</v>
      </c>
      <c r="W45" s="520">
        <f t="shared" si="10"/>
        <v>1168851.2500559767</v>
      </c>
      <c r="X45" s="522">
        <f t="shared" si="11"/>
        <v>1216630.2738301605</v>
      </c>
      <c r="Y45" s="521">
        <f t="shared" si="12"/>
        <v>694613.73846641404</v>
      </c>
      <c r="Z45" s="522">
        <f t="shared" si="13"/>
        <v>1643088.7616455392</v>
      </c>
      <c r="AB45" s="801">
        <f t="shared" si="14"/>
        <v>99</v>
      </c>
      <c r="AC45" s="523">
        <f t="shared" si="15"/>
        <v>1102430.580723501</v>
      </c>
    </row>
    <row r="46" spans="1:35">
      <c r="A46" s="134">
        <v>1995</v>
      </c>
      <c r="B46" s="440">
        <f t="shared" si="0"/>
        <v>2000</v>
      </c>
      <c r="C46" s="515">
        <f>VLOOKUP($A46,'Brd Tbl'!$A$8:$AX$64,16)</f>
        <v>219305.37513567525</v>
      </c>
      <c r="D46" s="515">
        <f>VLOOKUP($A46,'Brd Tbl'!$A$8:$AX$64,22)</f>
        <v>929769.82433363562</v>
      </c>
      <c r="E46" s="7">
        <v>47</v>
      </c>
      <c r="F46" s="7">
        <v>45</v>
      </c>
      <c r="G46" s="580">
        <v>473125.07102126558</v>
      </c>
      <c r="H46" s="576">
        <v>2.5707709420206992</v>
      </c>
      <c r="I46" s="579">
        <v>0.36939955735866009</v>
      </c>
      <c r="J46" s="7">
        <v>1036908.9568490082</v>
      </c>
      <c r="K46" s="7">
        <v>356889.0912830634</v>
      </c>
      <c r="L46" s="581">
        <v>0.51836722958237047</v>
      </c>
      <c r="M46" s="582">
        <v>135014398394.65591</v>
      </c>
      <c r="N46" s="440">
        <f t="shared" si="1"/>
        <v>-107139.13251537259</v>
      </c>
      <c r="O46" s="518">
        <f t="shared" si="2"/>
        <v>11478793716.146568</v>
      </c>
      <c r="P46" s="467">
        <f t="shared" si="3"/>
        <v>1036908.9568490082</v>
      </c>
      <c r="Q46" s="467">
        <f t="shared" si="16"/>
        <v>562671.44525944558</v>
      </c>
      <c r="R46" s="467">
        <f>$P46+SQRT(ln13xln12!$O$64)*$Q$64</f>
        <v>1036909.4336093394</v>
      </c>
      <c r="S46" s="468">
        <f t="shared" si="6"/>
        <v>0.11523188827101269</v>
      </c>
      <c r="T46" s="468">
        <f t="shared" si="7"/>
        <v>0.11523188827101269</v>
      </c>
      <c r="U46" s="519">
        <f t="shared" si="8"/>
        <v>1995</v>
      </c>
      <c r="V46" s="442">
        <f t="shared" si="9"/>
        <v>219305.37513567525</v>
      </c>
      <c r="W46" s="520">
        <f t="shared" si="10"/>
        <v>1034597.2236615752</v>
      </c>
      <c r="X46" s="522">
        <f t="shared" si="11"/>
        <v>929769.82433363562</v>
      </c>
      <c r="Y46" s="521">
        <f t="shared" si="12"/>
        <v>560359.7120720126</v>
      </c>
      <c r="Z46" s="522">
        <f t="shared" si="13"/>
        <v>1508834.735251138</v>
      </c>
      <c r="AB46" s="799" t="s">
        <v>315</v>
      </c>
      <c r="AC46" s="523">
        <f t="shared" si="15"/>
        <v>1102430.580723501</v>
      </c>
    </row>
    <row r="47" spans="1:35">
      <c r="A47" s="134">
        <v>1996</v>
      </c>
      <c r="B47" s="440">
        <f t="shared" si="0"/>
        <v>2001</v>
      </c>
      <c r="C47" s="515">
        <f>VLOOKUP($A47,'Brd Tbl'!$A$8:$AX$64,16)</f>
        <v>76308.890082196463</v>
      </c>
      <c r="D47" s="515">
        <f>VLOOKUP($A47,'Brd Tbl'!$A$8:$AX$64,22)</f>
        <v>1671044.5816115239</v>
      </c>
      <c r="E47" s="7">
        <v>47</v>
      </c>
      <c r="F47" s="7">
        <v>45</v>
      </c>
      <c r="G47" s="580">
        <v>400918.45816300728</v>
      </c>
      <c r="H47" s="576">
        <v>2.7657982772638343</v>
      </c>
      <c r="I47" s="579">
        <v>0.33899119353722373</v>
      </c>
      <c r="J47" s="7">
        <v>611973.45489226154</v>
      </c>
      <c r="K47" s="7">
        <v>322457.43724969355</v>
      </c>
      <c r="L47" s="581">
        <v>0.5966577988993127</v>
      </c>
      <c r="M47" s="582">
        <v>111394124825.84186</v>
      </c>
      <c r="N47" s="440">
        <f t="shared" si="1"/>
        <v>1059071.1267192625</v>
      </c>
      <c r="O47" s="518">
        <f t="shared" si="2"/>
        <v>1121631651450.408</v>
      </c>
      <c r="P47" s="467">
        <f t="shared" si="3"/>
        <v>611973.45489226154</v>
      </c>
      <c r="Q47" s="467">
        <f t="shared" si="16"/>
        <v>137735.9433026989</v>
      </c>
      <c r="R47" s="467">
        <f>$P47+SQRT(ln13xln12!$O$64)*$Q$64</f>
        <v>611973.93165259273</v>
      </c>
      <c r="S47" s="468">
        <f t="shared" si="6"/>
        <v>-0.63377790058594019</v>
      </c>
      <c r="T47" s="468">
        <f t="shared" si="7"/>
        <v>0.63377790058594019</v>
      </c>
      <c r="U47" s="519">
        <f t="shared" si="8"/>
        <v>1996</v>
      </c>
      <c r="V47" s="442">
        <f t="shared" si="9"/>
        <v>76308.890082196463</v>
      </c>
      <c r="W47" s="520">
        <f t="shared" si="10"/>
        <v>666553.7607846082</v>
      </c>
      <c r="X47" s="522">
        <f t="shared" si="11"/>
        <v>1671044.5816115239</v>
      </c>
      <c r="Y47" s="521">
        <f t="shared" si="12"/>
        <v>192316.24919504556</v>
      </c>
      <c r="Z47" s="522">
        <f t="shared" si="13"/>
        <v>1140791.2723741708</v>
      </c>
      <c r="AB47" s="799" t="s">
        <v>316</v>
      </c>
      <c r="AC47" s="523">
        <f t="shared" si="15"/>
        <v>1102430.580723501</v>
      </c>
    </row>
    <row r="48" spans="1:35">
      <c r="A48" s="134">
        <v>1997</v>
      </c>
      <c r="B48" s="440">
        <f t="shared" si="0"/>
        <v>2002</v>
      </c>
      <c r="C48" s="515">
        <f>VLOOKUP($A48,'Brd Tbl'!$A$8:$AX$64,16)</f>
        <v>100643.96414584623</v>
      </c>
      <c r="D48" s="515">
        <f>VLOOKUP($A48,'Brd Tbl'!$A$8:$AX$64,22)</f>
        <v>1250886.8726059287</v>
      </c>
      <c r="E48" s="7">
        <v>47</v>
      </c>
      <c r="F48" s="7">
        <v>45</v>
      </c>
      <c r="G48" s="580">
        <v>437991.46232066222</v>
      </c>
      <c r="H48" s="576">
        <v>2.6584541892407052</v>
      </c>
      <c r="I48" s="579">
        <v>0.36456444759084045</v>
      </c>
      <c r="J48" s="7">
        <v>705548.83042597841</v>
      </c>
      <c r="K48" s="7">
        <v>348277.36416393082</v>
      </c>
      <c r="L48" s="581">
        <v>0.54163611366813846</v>
      </c>
      <c r="M48" s="582">
        <v>128931105064.17688</v>
      </c>
      <c r="N48" s="440">
        <f t="shared" si="1"/>
        <v>545338.04217995028</v>
      </c>
      <c r="O48" s="518">
        <f t="shared" si="2"/>
        <v>297393580248.66125</v>
      </c>
      <c r="P48" s="467">
        <f t="shared" si="3"/>
        <v>705548.83042597841</v>
      </c>
      <c r="Q48" s="467">
        <f t="shared" si="16"/>
        <v>231311.31883641577</v>
      </c>
      <c r="R48" s="467">
        <f>$P48+SQRT(ln13xln12!$O$64)*$Q$64</f>
        <v>705549.3071863096</v>
      </c>
      <c r="S48" s="468">
        <f t="shared" si="6"/>
        <v>-0.43596112016418137</v>
      </c>
      <c r="T48" s="468">
        <f t="shared" si="7"/>
        <v>0.43596112016418137</v>
      </c>
      <c r="U48" s="519">
        <f t="shared" si="8"/>
        <v>1997</v>
      </c>
      <c r="V48" s="442">
        <f t="shared" si="9"/>
        <v>100643.96414584623</v>
      </c>
      <c r="W48" s="520">
        <f t="shared" si="10"/>
        <v>729187.22288966319</v>
      </c>
      <c r="X48" s="522">
        <f t="shared" si="11"/>
        <v>1250886.8726059287</v>
      </c>
      <c r="Y48" s="521">
        <f t="shared" si="12"/>
        <v>254949.71130010055</v>
      </c>
      <c r="Z48" s="522">
        <f t="shared" si="13"/>
        <v>1203424.7344792257</v>
      </c>
      <c r="AB48" s="799" t="s">
        <v>324</v>
      </c>
      <c r="AC48" s="523">
        <f t="shared" si="15"/>
        <v>1102430.580723501</v>
      </c>
    </row>
    <row r="49" spans="1:29">
      <c r="A49" s="134">
        <v>1998</v>
      </c>
      <c r="B49" s="440">
        <f t="shared" si="0"/>
        <v>2003</v>
      </c>
      <c r="C49" s="515">
        <f>VLOOKUP($A49,'Brd Tbl'!$A$8:$AX$64,16)</f>
        <v>359050.78446500207</v>
      </c>
      <c r="D49" s="515">
        <f>VLOOKUP($A49,'Brd Tbl'!$A$8:$AX$64,22)</f>
        <v>1379966.5856725546</v>
      </c>
      <c r="E49" s="7">
        <v>47</v>
      </c>
      <c r="F49" s="7">
        <v>45</v>
      </c>
      <c r="G49" s="580">
        <v>470017.24011587154</v>
      </c>
      <c r="H49" s="576">
        <v>2.575592628180861</v>
      </c>
      <c r="I49" s="579">
        <v>0.37223957254212131</v>
      </c>
      <c r="J49" s="7">
        <v>1394785.7937264862</v>
      </c>
      <c r="K49" s="7">
        <v>357231.98693567264</v>
      </c>
      <c r="L49" s="581">
        <v>0.51547806773727622</v>
      </c>
      <c r="M49" s="582">
        <v>135253955517.82188</v>
      </c>
      <c r="N49" s="440">
        <f t="shared" si="1"/>
        <v>-14819.208053931594</v>
      </c>
      <c r="O49" s="518">
        <f t="shared" si="2"/>
        <v>219608927.34571102</v>
      </c>
      <c r="P49" s="467">
        <f t="shared" si="3"/>
        <v>1394785.7937264862</v>
      </c>
      <c r="Q49" s="467">
        <f t="shared" si="16"/>
        <v>920548.28213692352</v>
      </c>
      <c r="R49" s="467">
        <f>$P49+SQRT(ln13xln12!$O$64)*$Q$64</f>
        <v>1394786.2704868172</v>
      </c>
      <c r="S49" s="468">
        <f t="shared" si="6"/>
        <v>1.0738816582800919E-2</v>
      </c>
      <c r="T49" s="468">
        <f t="shared" si="7"/>
        <v>1.0738816582800919E-2</v>
      </c>
      <c r="U49" s="519">
        <f t="shared" si="8"/>
        <v>1998</v>
      </c>
      <c r="V49" s="442">
        <f t="shared" si="9"/>
        <v>359050.78446500207</v>
      </c>
      <c r="W49" s="520">
        <f t="shared" si="10"/>
        <v>1394273.088082226</v>
      </c>
      <c r="X49" s="522">
        <f t="shared" si="11"/>
        <v>1379966.5856725546</v>
      </c>
      <c r="Y49" s="521">
        <f t="shared" si="12"/>
        <v>920035.57649266336</v>
      </c>
      <c r="Z49" s="522">
        <f t="shared" si="13"/>
        <v>1868510.5996717885</v>
      </c>
      <c r="AB49" s="799" t="s">
        <v>349</v>
      </c>
      <c r="AC49" s="523">
        <f t="shared" si="15"/>
        <v>1102430.580723501</v>
      </c>
    </row>
    <row r="50" spans="1:29">
      <c r="A50" s="134">
        <v>1999</v>
      </c>
      <c r="B50" s="440">
        <f t="shared" si="0"/>
        <v>2004</v>
      </c>
      <c r="C50" s="515">
        <f>VLOOKUP($A50,'Brd Tbl'!$A$8:$AX$64,16)</f>
        <v>272182.51143379207</v>
      </c>
      <c r="D50" s="515">
        <f>VLOOKUP($A50,'Brd Tbl'!$A$8:$AX$64,22)</f>
        <v>996194.75347909459</v>
      </c>
      <c r="E50" s="7">
        <v>47</v>
      </c>
      <c r="F50" s="7">
        <v>45</v>
      </c>
      <c r="G50" s="580">
        <v>472622.03830138897</v>
      </c>
      <c r="H50" s="576">
        <v>2.5788574331643712</v>
      </c>
      <c r="I50" s="579">
        <v>0.36875982820246328</v>
      </c>
      <c r="J50" s="7">
        <v>1174541.93108977</v>
      </c>
      <c r="K50" s="7">
        <v>356269.3135371597</v>
      </c>
      <c r="L50" s="581">
        <v>0.52080044796371394</v>
      </c>
      <c r="M50" s="582">
        <v>134581868138.36765</v>
      </c>
      <c r="N50" s="440">
        <f t="shared" si="1"/>
        <v>-178347.17761067546</v>
      </c>
      <c r="O50" s="518">
        <f t="shared" si="2"/>
        <v>31807715761.693817</v>
      </c>
      <c r="P50" s="467">
        <f t="shared" si="3"/>
        <v>1174541.93108977</v>
      </c>
      <c r="Q50" s="467">
        <f t="shared" si="16"/>
        <v>700304.41950020741</v>
      </c>
      <c r="R50" s="467">
        <f>$P50+SQRT(ln13xln12!$O$64)*$Q$64</f>
        <v>1174542.4078501011</v>
      </c>
      <c r="S50" s="468">
        <f t="shared" si="6"/>
        <v>0.17902842490167573</v>
      </c>
      <c r="T50" s="468">
        <f t="shared" si="7"/>
        <v>0.17902842490167573</v>
      </c>
      <c r="U50" s="519">
        <f t="shared" si="8"/>
        <v>1999</v>
      </c>
      <c r="V50" s="442">
        <f t="shared" si="9"/>
        <v>272182.51143379207</v>
      </c>
      <c r="W50" s="520">
        <f t="shared" si="10"/>
        <v>1170692.067831333</v>
      </c>
      <c r="X50" s="522">
        <f t="shared" si="11"/>
        <v>996194.75347909459</v>
      </c>
      <c r="Y50" s="521">
        <f t="shared" si="12"/>
        <v>696454.55624177039</v>
      </c>
      <c r="Z50" s="522">
        <f t="shared" si="13"/>
        <v>1644929.5794208958</v>
      </c>
      <c r="AB50" s="799" t="s">
        <v>350</v>
      </c>
      <c r="AC50" s="523">
        <f t="shared" si="15"/>
        <v>1102430.580723501</v>
      </c>
    </row>
    <row r="51" spans="1:29">
      <c r="A51" s="134">
        <v>2000</v>
      </c>
      <c r="B51" s="440">
        <f t="shared" si="0"/>
        <v>2005</v>
      </c>
      <c r="C51" s="515">
        <f>VLOOKUP($A51,'Brd Tbl'!$A$8:$AX$64,16)</f>
        <v>501789.11599463865</v>
      </c>
      <c r="D51" s="515">
        <f>VLOOKUP($A51,'Brd Tbl'!$A$8:$AX$64,22)</f>
        <v>1434375.124038063</v>
      </c>
      <c r="E51" s="7">
        <v>47</v>
      </c>
      <c r="F51" s="7">
        <v>45</v>
      </c>
      <c r="G51" s="580">
        <v>453398.47762638726</v>
      </c>
      <c r="H51" s="576">
        <v>2.6725205357472532</v>
      </c>
      <c r="I51" s="579">
        <v>0.3796780117751325</v>
      </c>
      <c r="J51" s="7">
        <v>1794440.1947365196</v>
      </c>
      <c r="K51" s="7">
        <v>353554.40126639057</v>
      </c>
      <c r="L51" s="581">
        <v>0.52404270667193387</v>
      </c>
      <c r="M51" s="582">
        <v>132500184321.86996</v>
      </c>
      <c r="N51" s="440">
        <f t="shared" si="1"/>
        <v>-360065.07069845661</v>
      </c>
      <c r="O51" s="518">
        <f t="shared" si="2"/>
        <v>129646855137.08455</v>
      </c>
      <c r="P51" s="467">
        <f t="shared" si="3"/>
        <v>1794440.1947365196</v>
      </c>
      <c r="Q51" s="467">
        <f t="shared" si="16"/>
        <v>1320202.6831469568</v>
      </c>
      <c r="R51" s="467">
        <f>$P51+SQRT(ln13xln12!$O$64)*$Q$64</f>
        <v>1794440.6714968507</v>
      </c>
      <c r="S51" s="468">
        <f t="shared" si="6"/>
        <v>0.25102573564215119</v>
      </c>
      <c r="T51" s="468">
        <f t="shared" si="7"/>
        <v>0.25102573564215119</v>
      </c>
      <c r="U51" s="519">
        <f t="shared" si="8"/>
        <v>2000</v>
      </c>
      <c r="V51" s="442">
        <f t="shared" si="9"/>
        <v>501789.11599463865</v>
      </c>
      <c r="W51" s="520">
        <f t="shared" si="10"/>
        <v>1761652.1170268958</v>
      </c>
      <c r="X51" s="522">
        <f t="shared" si="11"/>
        <v>1434375.124038063</v>
      </c>
      <c r="Y51" s="521">
        <f t="shared" si="12"/>
        <v>1287414.6054373332</v>
      </c>
      <c r="Z51" s="522">
        <f t="shared" si="13"/>
        <v>2235889.6286164583</v>
      </c>
      <c r="AB51" s="799" t="s">
        <v>351</v>
      </c>
      <c r="AC51" s="523">
        <f t="shared" si="15"/>
        <v>1102430.580723501</v>
      </c>
    </row>
    <row r="52" spans="1:29">
      <c r="A52" s="134">
        <v>2001</v>
      </c>
      <c r="B52" s="440">
        <f t="shared" si="0"/>
        <v>2006</v>
      </c>
      <c r="C52" s="515">
        <f>VLOOKUP($A52,'Brd Tbl'!$A$8:$AX$64,16)</f>
        <v>258148.88316457791</v>
      </c>
      <c r="D52" s="515">
        <f>VLOOKUP($A52,'Brd Tbl'!$A$8:$AX$64,22)</f>
        <v>1472393.5551385009</v>
      </c>
      <c r="E52" s="7">
        <v>47</v>
      </c>
      <c r="F52" s="7">
        <v>45</v>
      </c>
      <c r="G52" s="580">
        <v>464094.77401181171</v>
      </c>
      <c r="H52" s="576">
        <v>2.5691806267481221</v>
      </c>
      <c r="I52" s="579">
        <v>0.36588147480500788</v>
      </c>
      <c r="J52" s="7">
        <v>1127325.8834549098</v>
      </c>
      <c r="K52" s="7">
        <v>353594.3065967366</v>
      </c>
      <c r="L52" s="581">
        <v>0.52283491339243982</v>
      </c>
      <c r="M52" s="582">
        <v>132725187664.33698</v>
      </c>
      <c r="N52" s="440">
        <f t="shared" si="1"/>
        <v>345067.67168359109</v>
      </c>
      <c r="O52" s="518">
        <f t="shared" si="2"/>
        <v>119071698041.13461</v>
      </c>
      <c r="P52" s="467">
        <f t="shared" si="3"/>
        <v>1127325.8834549098</v>
      </c>
      <c r="Q52" s="467">
        <f t="shared" si="16"/>
        <v>653088.37186534714</v>
      </c>
      <c r="R52" s="467">
        <f>$P52+SQRT(ln13xln12!$O$64)*$Q$64</f>
        <v>1127326.3602152409</v>
      </c>
      <c r="S52" s="468">
        <f t="shared" si="6"/>
        <v>-0.23435831437820459</v>
      </c>
      <c r="T52" s="468">
        <f t="shared" si="7"/>
        <v>0.23435831437820459</v>
      </c>
      <c r="U52" s="519">
        <f t="shared" si="8"/>
        <v>2001</v>
      </c>
      <c r="V52" s="442">
        <f t="shared" si="9"/>
        <v>258148.88316457791</v>
      </c>
      <c r="W52" s="520">
        <f t="shared" si="10"/>
        <v>1134572.4027710482</v>
      </c>
      <c r="X52" s="522">
        <f t="shared" si="11"/>
        <v>1472393.5551385009</v>
      </c>
      <c r="Y52" s="521">
        <f t="shared" si="12"/>
        <v>660334.89118148561</v>
      </c>
      <c r="Z52" s="522">
        <f t="shared" si="13"/>
        <v>1608809.9143606108</v>
      </c>
      <c r="AB52" s="799" t="s">
        <v>361</v>
      </c>
      <c r="AC52" s="523">
        <f t="shared" si="15"/>
        <v>1102430.580723501</v>
      </c>
    </row>
    <row r="53" spans="1:29">
      <c r="A53" s="134">
        <v>2002</v>
      </c>
      <c r="B53" s="440">
        <f t="shared" si="0"/>
        <v>2007</v>
      </c>
      <c r="C53" s="515">
        <f>VLOOKUP($A53,'Brd Tbl'!$A$8:$AX$64,16)</f>
        <v>401156.89491228049</v>
      </c>
      <c r="D53" s="515">
        <f>VLOOKUP($A53,'Brd Tbl'!$A$8:$AX$64,22)</f>
        <v>2281728.634522045</v>
      </c>
      <c r="E53" s="7">
        <v>47</v>
      </c>
      <c r="F53" s="7">
        <v>45</v>
      </c>
      <c r="G53" s="580">
        <v>486544.65655565634</v>
      </c>
      <c r="H53" s="576">
        <v>2.4377502034172536</v>
      </c>
      <c r="I53" s="579">
        <v>0.35322909214445125</v>
      </c>
      <c r="J53" s="7">
        <v>1464464.9587303018</v>
      </c>
      <c r="K53" s="7">
        <v>336853.3097745842</v>
      </c>
      <c r="L53" s="581">
        <v>0.51418757425400952</v>
      </c>
      <c r="M53" s="582">
        <v>121047566010.56042</v>
      </c>
      <c r="N53" s="440">
        <f t="shared" si="1"/>
        <v>817263.67579174321</v>
      </c>
      <c r="O53" s="518">
        <f t="shared" si="2"/>
        <v>667919915768.63159</v>
      </c>
      <c r="P53" s="467">
        <f t="shared" si="3"/>
        <v>1464464.9587303018</v>
      </c>
      <c r="Q53" s="467">
        <f t="shared" si="16"/>
        <v>990227.44714073918</v>
      </c>
      <c r="R53" s="467">
        <f>$P53+SQRT(ln13xln12!$O$64)*$Q$64</f>
        <v>1464465.4354906329</v>
      </c>
      <c r="S53" s="468">
        <f t="shared" si="6"/>
        <v>-0.35817742014835863</v>
      </c>
      <c r="T53" s="468">
        <f t="shared" si="7"/>
        <v>0.35817742014835863</v>
      </c>
      <c r="U53" s="519">
        <f t="shared" si="8"/>
        <v>2002</v>
      </c>
      <c r="V53" s="442">
        <f t="shared" si="9"/>
        <v>401156.89491228049</v>
      </c>
      <c r="W53" s="520">
        <f t="shared" si="10"/>
        <v>1502645.5329818386</v>
      </c>
      <c r="X53" s="522">
        <f t="shared" si="11"/>
        <v>2281728.634522045</v>
      </c>
      <c r="Y53" s="521">
        <f t="shared" si="12"/>
        <v>1028408.0213922759</v>
      </c>
      <c r="Z53" s="522">
        <f t="shared" si="13"/>
        <v>1976883.0445714011</v>
      </c>
      <c r="AB53" s="799" t="s">
        <v>362</v>
      </c>
      <c r="AC53" s="523">
        <f t="shared" si="15"/>
        <v>1102430.580723501</v>
      </c>
    </row>
    <row r="54" spans="1:29">
      <c r="A54" s="134">
        <v>2003</v>
      </c>
      <c r="B54" s="440">
        <f t="shared" si="0"/>
        <v>2008</v>
      </c>
      <c r="C54" s="515">
        <f>VLOOKUP($A54,'Brd Tbl'!$A$8:$AX$64,16)</f>
        <v>144497.9544226641</v>
      </c>
      <c r="D54" s="515">
        <f>VLOOKUP($A54,'Brd Tbl'!$A$8:$AX$64,22)</f>
        <v>796157.21431067027</v>
      </c>
      <c r="E54" s="7">
        <v>47</v>
      </c>
      <c r="F54" s="7">
        <v>45</v>
      </c>
      <c r="G54" s="580">
        <v>472399.35049277986</v>
      </c>
      <c r="H54" s="576">
        <v>2.5686595995352319</v>
      </c>
      <c r="I54" s="579">
        <v>0.37163575322275411</v>
      </c>
      <c r="J54" s="7">
        <v>843565.40823376039</v>
      </c>
      <c r="K54" s="7">
        <v>357170.89227998169</v>
      </c>
      <c r="L54" s="581">
        <v>0.51494256099386648</v>
      </c>
      <c r="M54" s="582">
        <v>135210808115.18985</v>
      </c>
      <c r="N54" s="440">
        <f t="shared" si="1"/>
        <v>-47408.193923090119</v>
      </c>
      <c r="O54" s="518">
        <f t="shared" si="2"/>
        <v>2247536851.0493188</v>
      </c>
      <c r="P54" s="467">
        <f t="shared" si="3"/>
        <v>843565.40823376039</v>
      </c>
      <c r="Q54" s="467">
        <f t="shared" si="16"/>
        <v>369327.89664419775</v>
      </c>
      <c r="R54" s="467">
        <f>$P54+SQRT(ln13xln12!$O$64)*$Q$64</f>
        <v>843565.88499409158</v>
      </c>
      <c r="S54" s="468">
        <f t="shared" si="6"/>
        <v>5.9546271855536889E-2</v>
      </c>
      <c r="T54" s="468">
        <f t="shared" si="7"/>
        <v>5.9546271855536889E-2</v>
      </c>
      <c r="U54" s="519">
        <f t="shared" si="8"/>
        <v>2003</v>
      </c>
      <c r="V54" s="442">
        <f t="shared" si="9"/>
        <v>144497.9544226641</v>
      </c>
      <c r="W54" s="520">
        <f t="shared" si="10"/>
        <v>842058.35001154093</v>
      </c>
      <c r="X54" s="522">
        <f t="shared" si="11"/>
        <v>796157.21431067027</v>
      </c>
      <c r="Y54" s="521">
        <f t="shared" si="12"/>
        <v>367820.83842197829</v>
      </c>
      <c r="Z54" s="522">
        <f t="shared" si="13"/>
        <v>1316295.8616011036</v>
      </c>
      <c r="AB54" s="799" t="s">
        <v>363</v>
      </c>
      <c r="AC54" s="523">
        <f t="shared" si="15"/>
        <v>1102430.580723501</v>
      </c>
    </row>
    <row r="55" spans="1:29">
      <c r="A55" s="134">
        <v>2004</v>
      </c>
      <c r="B55" s="440">
        <f t="shared" si="0"/>
        <v>2009</v>
      </c>
      <c r="C55" s="515">
        <f>VLOOKUP($A55,'Brd Tbl'!$A$8:$AX$64,16)</f>
        <v>103350.61858821202</v>
      </c>
      <c r="D55" s="515">
        <f>VLOOKUP($A55,'Brd Tbl'!$A$8:$AX$64,22)</f>
        <v>940457.62252988853</v>
      </c>
      <c r="E55" s="7">
        <v>47</v>
      </c>
      <c r="F55" s="7">
        <v>45</v>
      </c>
      <c r="G55" s="580">
        <v>457719.40499363909</v>
      </c>
      <c r="H55" s="576">
        <v>2.6063007475014701</v>
      </c>
      <c r="I55" s="579">
        <v>0.37236075397922413</v>
      </c>
      <c r="J55" s="7">
        <v>727082.19947483542</v>
      </c>
      <c r="K55" s="7">
        <v>355880.12071497366</v>
      </c>
      <c r="L55" s="581">
        <v>0.52123360090859228</v>
      </c>
      <c r="M55" s="582">
        <v>134289924406.40532</v>
      </c>
      <c r="N55" s="440">
        <f t="shared" si="1"/>
        <v>213375.42305505311</v>
      </c>
      <c r="O55" s="518">
        <f t="shared" si="2"/>
        <v>45529071163.92289</v>
      </c>
      <c r="P55" s="467">
        <f t="shared" si="3"/>
        <v>727082.19947483542</v>
      </c>
      <c r="Q55" s="467">
        <f t="shared" si="16"/>
        <v>252844.68788527278</v>
      </c>
      <c r="R55" s="467">
        <f>$P55+SQRT(ln13xln12!$O$64)*$Q$64</f>
        <v>727082.67623516661</v>
      </c>
      <c r="S55" s="468">
        <f t="shared" si="6"/>
        <v>-0.22688467608041729</v>
      </c>
      <c r="T55" s="468">
        <f t="shared" si="7"/>
        <v>0.22688467608041729</v>
      </c>
      <c r="U55" s="519">
        <f t="shared" si="8"/>
        <v>2004</v>
      </c>
      <c r="V55" s="442">
        <f t="shared" si="9"/>
        <v>103350.61858821202</v>
      </c>
      <c r="W55" s="520">
        <f t="shared" si="10"/>
        <v>736153.59324070415</v>
      </c>
      <c r="X55" s="522">
        <f t="shared" si="11"/>
        <v>940457.62252988853</v>
      </c>
      <c r="Y55" s="521">
        <f t="shared" si="12"/>
        <v>261916.08165114152</v>
      </c>
      <c r="Z55" s="522">
        <f t="shared" si="13"/>
        <v>1210391.1048302669</v>
      </c>
      <c r="AB55" s="799" t="s">
        <v>476</v>
      </c>
      <c r="AC55" s="523">
        <f t="shared" ref="AC55" si="17">AVERAGE(D$13:D$60)</f>
        <v>1102430.580723501</v>
      </c>
    </row>
    <row r="56" spans="1:29">
      <c r="A56" s="134">
        <v>2005</v>
      </c>
      <c r="B56" s="440">
        <f t="shared" si="0"/>
        <v>2010</v>
      </c>
      <c r="C56" s="515">
        <f>VLOOKUP($A56,'Brd Tbl'!$A$8:$AX$64,16)</f>
        <v>348675.14452879829</v>
      </c>
      <c r="D56" s="515">
        <f>VLOOKUP($A56,'Brd Tbl'!$A$8:$AX$64,22)</f>
        <v>730494.56928830943</v>
      </c>
      <c r="E56" s="7">
        <v>47</v>
      </c>
      <c r="F56" s="7">
        <v>45</v>
      </c>
      <c r="G56" s="580">
        <v>466031.00746532634</v>
      </c>
      <c r="H56" s="576">
        <v>2.6463868745495298</v>
      </c>
      <c r="I56" s="579">
        <v>0.35795214386084034</v>
      </c>
      <c r="J56" s="7">
        <v>1388760.3334279985</v>
      </c>
      <c r="K56" s="7">
        <v>343947.97173640865</v>
      </c>
      <c r="L56" s="581">
        <v>0.54845742685031484</v>
      </c>
      <c r="M56" s="582">
        <v>126039185149.50136</v>
      </c>
      <c r="N56" s="440">
        <f t="shared" si="1"/>
        <v>-658265.76413968904</v>
      </c>
      <c r="O56" s="518">
        <f t="shared" si="2"/>
        <v>433313816238.40869</v>
      </c>
      <c r="P56" s="467">
        <f t="shared" si="3"/>
        <v>1388760.3334279985</v>
      </c>
      <c r="Q56" s="467">
        <f t="shared" si="16"/>
        <v>914522.82183843583</v>
      </c>
      <c r="R56" s="467">
        <f>$P56+SQRT(ln13xln12!$O$64)*$Q$64</f>
        <v>1388760.8101883295</v>
      </c>
      <c r="S56" s="468">
        <f t="shared" si="6"/>
        <v>0.90112341941297402</v>
      </c>
      <c r="T56" s="468">
        <f t="shared" si="7"/>
        <v>0.90112341941297402</v>
      </c>
      <c r="U56" s="519">
        <f t="shared" si="8"/>
        <v>2005</v>
      </c>
      <c r="V56" s="442">
        <f t="shared" si="9"/>
        <v>348675.14452879829</v>
      </c>
      <c r="W56" s="520">
        <f t="shared" si="10"/>
        <v>1367568.3306173356</v>
      </c>
      <c r="X56" s="522">
        <f t="shared" si="11"/>
        <v>730494.56928830943</v>
      </c>
      <c r="Y56" s="521">
        <f t="shared" si="12"/>
        <v>893330.81902777299</v>
      </c>
      <c r="Z56" s="522">
        <f t="shared" si="13"/>
        <v>1841805.8422068981</v>
      </c>
      <c r="AB56" s="799" t="s">
        <v>477</v>
      </c>
      <c r="AC56" s="523">
        <f t="shared" ref="AC56" si="18">AVERAGE(D$13:D$60)</f>
        <v>1102430.580723501</v>
      </c>
    </row>
    <row r="57" spans="1:29">
      <c r="A57" s="134">
        <v>2006</v>
      </c>
      <c r="B57" s="440">
        <f t="shared" si="0"/>
        <v>2011</v>
      </c>
      <c r="C57" s="515">
        <f>VLOOKUP($A57,'Brd Tbl'!$A$8:$AX$64,16)</f>
        <v>409775.58032286481</v>
      </c>
      <c r="D57" s="515">
        <f>VLOOKUP($A57,'Brd Tbl'!$A$8:$AX$64,22)</f>
        <v>1832418.5211423838</v>
      </c>
      <c r="E57" s="7">
        <v>47</v>
      </c>
      <c r="F57" s="7">
        <v>45</v>
      </c>
      <c r="G57" s="580">
        <v>477376.73718633014</v>
      </c>
      <c r="H57" s="576">
        <v>2.5169293598665776</v>
      </c>
      <c r="I57" s="579">
        <v>0.37191986076901928</v>
      </c>
      <c r="J57" s="7">
        <v>1508752.9262573137</v>
      </c>
      <c r="K57" s="7">
        <v>354128.56377271563</v>
      </c>
      <c r="L57" s="581">
        <v>0.50439252780449362</v>
      </c>
      <c r="M57" s="582">
        <v>133029704275.58864</v>
      </c>
      <c r="N57" s="440">
        <f t="shared" si="1"/>
        <v>323665.59488507011</v>
      </c>
      <c r="O57" s="518">
        <f t="shared" si="2"/>
        <v>104759417312.30632</v>
      </c>
      <c r="P57" s="467">
        <f t="shared" si="3"/>
        <v>1508752.9262573137</v>
      </c>
      <c r="Q57" s="467">
        <f t="shared" si="16"/>
        <v>1034515.4146677511</v>
      </c>
      <c r="R57" s="467">
        <f>$P57+SQRT(ln13xln12!$O$64)*$Q$64</f>
        <v>1508753.4030176448</v>
      </c>
      <c r="S57" s="468">
        <f t="shared" si="6"/>
        <v>-0.17663300777121999</v>
      </c>
      <c r="T57" s="468">
        <f t="shared" si="7"/>
        <v>0.17663300777121999</v>
      </c>
      <c r="U57" s="519">
        <f t="shared" si="8"/>
        <v>2006</v>
      </c>
      <c r="V57" s="442">
        <f t="shared" si="9"/>
        <v>409775.58032286481</v>
      </c>
      <c r="W57" s="520">
        <f t="shared" si="10"/>
        <v>1524828.251828196</v>
      </c>
      <c r="X57" s="522">
        <f t="shared" si="11"/>
        <v>1832418.5211423838</v>
      </c>
      <c r="Y57" s="521">
        <f t="shared" si="12"/>
        <v>1050590.7402386335</v>
      </c>
      <c r="Z57" s="522">
        <f t="shared" si="13"/>
        <v>1999065.7634177585</v>
      </c>
      <c r="AB57" s="799" t="s">
        <v>477</v>
      </c>
      <c r="AC57" s="523">
        <f t="shared" ref="AC57" si="19">AVERAGE(D$13:D$60)</f>
        <v>1102430.580723501</v>
      </c>
    </row>
    <row r="58" spans="1:29">
      <c r="A58" s="134">
        <v>2007</v>
      </c>
      <c r="B58" s="440">
        <f t="shared" si="0"/>
        <v>2012</v>
      </c>
      <c r="C58" s="515">
        <f>VLOOKUP($A58,'Brd Tbl'!$A$8:$AX$64,16)</f>
        <v>442676.75714160182</v>
      </c>
      <c r="D58" s="515">
        <f>VLOOKUP($A58,'Brd Tbl'!$A$8:$AX$64,22)</f>
        <v>2079282.070390793</v>
      </c>
      <c r="E58" s="7">
        <v>47</v>
      </c>
      <c r="F58" s="7">
        <v>45</v>
      </c>
      <c r="G58" s="580">
        <v>485671.85416861635</v>
      </c>
      <c r="H58" s="576">
        <v>2.4681213466538301</v>
      </c>
      <c r="I58" s="579">
        <v>0.36990100150764132</v>
      </c>
      <c r="J58" s="7">
        <v>1578251.8081372972</v>
      </c>
      <c r="K58" s="7">
        <v>349841.31947249413</v>
      </c>
      <c r="L58" s="581">
        <v>0.49732297587994179</v>
      </c>
      <c r="M58" s="582">
        <v>129917536054.70566</v>
      </c>
      <c r="N58" s="440">
        <f t="shared" si="1"/>
        <v>501030.26225349586</v>
      </c>
      <c r="O58" s="518">
        <f t="shared" si="2"/>
        <v>251031323693.80685</v>
      </c>
      <c r="P58" s="467">
        <f t="shared" si="3"/>
        <v>1578251.8081372972</v>
      </c>
      <c r="Q58" s="467">
        <f t="shared" si="16"/>
        <v>1104014.2965477346</v>
      </c>
      <c r="R58" s="467">
        <f>$P58+SQRT(ln13xln12!$O$64)*$Q$64</f>
        <v>1578252.2848976282</v>
      </c>
      <c r="S58" s="468">
        <f t="shared" si="6"/>
        <v>-0.24096310423112971</v>
      </c>
      <c r="T58" s="468">
        <f t="shared" si="7"/>
        <v>0.24096310423112971</v>
      </c>
      <c r="U58" s="519">
        <f t="shared" si="8"/>
        <v>2007</v>
      </c>
      <c r="V58" s="442">
        <f t="shared" si="9"/>
        <v>442676.75714160182</v>
      </c>
      <c r="W58" s="520">
        <f t="shared" si="10"/>
        <v>1609509.0958682904</v>
      </c>
      <c r="X58" s="522">
        <f t="shared" si="11"/>
        <v>2079282.070390793</v>
      </c>
      <c r="Y58" s="521">
        <f t="shared" si="12"/>
        <v>1135271.5842787279</v>
      </c>
      <c r="Z58" s="522">
        <f t="shared" si="13"/>
        <v>2083746.6074578529</v>
      </c>
      <c r="AB58" s="799" t="s">
        <v>477</v>
      </c>
      <c r="AC58" s="523">
        <f t="shared" ref="AC58" si="20">AVERAGE(D$13:D$60)</f>
        <v>1102430.580723501</v>
      </c>
    </row>
    <row r="59" spans="1:29">
      <c r="A59" s="134">
        <v>2008</v>
      </c>
      <c r="B59" s="440">
        <f t="shared" si="0"/>
        <v>2013</v>
      </c>
      <c r="C59" s="515">
        <f>VLOOKUP($A59,'Brd Tbl'!$A$8:$AX$64,16)</f>
        <v>456063.26080517849</v>
      </c>
      <c r="D59" s="515">
        <f>VLOOKUP($A59,'Brd Tbl'!$A$8:$AX$64,22)</f>
        <v>1478040.9578396173</v>
      </c>
      <c r="E59" s="7">
        <v>47</v>
      </c>
      <c r="F59" s="7">
        <v>45</v>
      </c>
      <c r="G59" s="580">
        <v>464007.05132916826</v>
      </c>
      <c r="H59" s="576">
        <v>2.6139026477923295</v>
      </c>
      <c r="I59" s="579">
        <v>0.37792803062706282</v>
      </c>
      <c r="J59" s="7">
        <v>1656112.016308628</v>
      </c>
      <c r="K59" s="7">
        <v>356318.43512903096</v>
      </c>
      <c r="L59" s="581">
        <v>0.51527755471509984</v>
      </c>
      <c r="M59" s="582">
        <v>134583962051.0787</v>
      </c>
      <c r="N59" s="440">
        <f t="shared" si="1"/>
        <v>-178071.05846901075</v>
      </c>
      <c r="O59" s="518">
        <f t="shared" si="2"/>
        <v>31709301864.273846</v>
      </c>
      <c r="P59" s="467">
        <f t="shared" si="3"/>
        <v>1656112.016308628</v>
      </c>
      <c r="Q59" s="467">
        <f t="shared" si="16"/>
        <v>1181874.5047190655</v>
      </c>
      <c r="R59" s="467">
        <f>$P59+SQRT(ln13xln12!$O$64)*$Q$64</f>
        <v>1656112.4930689591</v>
      </c>
      <c r="S59" s="468">
        <f t="shared" si="6"/>
        <v>0.12047775640080287</v>
      </c>
      <c r="T59" s="468">
        <f t="shared" si="7"/>
        <v>0.12047775640080287</v>
      </c>
      <c r="U59" s="519">
        <f t="shared" si="8"/>
        <v>2008</v>
      </c>
      <c r="V59" s="442">
        <f t="shared" si="9"/>
        <v>456063.26080517849</v>
      </c>
      <c r="W59" s="520">
        <f t="shared" si="10"/>
        <v>1643963.1956478436</v>
      </c>
      <c r="X59" s="522">
        <f t="shared" si="11"/>
        <v>1478040.9578396173</v>
      </c>
      <c r="Y59" s="521">
        <f t="shared" si="12"/>
        <v>1169725.6840582811</v>
      </c>
      <c r="Z59" s="522">
        <f t="shared" si="13"/>
        <v>2118200.7072374062</v>
      </c>
      <c r="AB59" s="799" t="s">
        <v>477</v>
      </c>
      <c r="AC59" s="523">
        <f t="shared" ref="AC59" si="21">AVERAGE(D$13:D$60)</f>
        <v>1102430.580723501</v>
      </c>
    </row>
    <row r="60" spans="1:29">
      <c r="A60" s="134">
        <v>2009</v>
      </c>
      <c r="B60" s="440">
        <f t="shared" si="0"/>
        <v>2014</v>
      </c>
      <c r="C60" s="515">
        <f>VLOOKUP($A60,'Brd Tbl'!$A$8:$AX$64,16)</f>
        <v>650733.61710635398</v>
      </c>
      <c r="D60" s="515">
        <f>VLOOKUP($A60,'Brd Tbl'!$A$8:$AX$64,22)</f>
        <v>1875957.0948617512</v>
      </c>
      <c r="E60" s="7">
        <v>47</v>
      </c>
      <c r="F60" s="7">
        <v>45</v>
      </c>
      <c r="G60" s="580">
        <v>441456.30821951141</v>
      </c>
      <c r="H60" s="576">
        <v>2.7189937426620654</v>
      </c>
      <c r="I60" s="579">
        <v>0.40481403078429712</v>
      </c>
      <c r="J60" s="7">
        <v>2210796.9412715402</v>
      </c>
      <c r="K60" s="7">
        <v>354425.52471630304</v>
      </c>
      <c r="L60" s="581">
        <v>0.50062905967095273</v>
      </c>
      <c r="M60" s="583">
        <v>132873144585.5583</v>
      </c>
      <c r="N60" s="479">
        <f t="shared" si="1"/>
        <v>-334839.84640978905</v>
      </c>
      <c r="O60" s="518">
        <f t="shared" si="2"/>
        <v>112117722743.73112</v>
      </c>
      <c r="P60" s="467">
        <f t="shared" si="3"/>
        <v>2210796.9412715402</v>
      </c>
      <c r="Q60" s="467">
        <f t="shared" si="16"/>
        <v>1736559.4296819777</v>
      </c>
      <c r="R60" s="467">
        <f>$P60+SQRT(ln13xln12!$O$64)*$Q$64</f>
        <v>2210797.4180318713</v>
      </c>
      <c r="S60" s="468">
        <f>(+P60-$E$60)/(D60)</f>
        <v>1.1784650871423377</v>
      </c>
      <c r="T60" s="468">
        <f t="shared" si="7"/>
        <v>1.1784650871423377</v>
      </c>
      <c r="U60" s="519">
        <f t="shared" si="8"/>
        <v>2009</v>
      </c>
      <c r="V60" s="442">
        <f t="shared" si="9"/>
        <v>650733.61710635398</v>
      </c>
      <c r="W60" s="520">
        <f t="shared" si="10"/>
        <v>2145004.54659981</v>
      </c>
      <c r="X60" s="522">
        <f t="shared" si="11"/>
        <v>1875957.0948617512</v>
      </c>
      <c r="Y60" s="521">
        <f t="shared" si="12"/>
        <v>1670767.0350102475</v>
      </c>
      <c r="Z60" s="522">
        <f t="shared" si="13"/>
        <v>2619242.0581893725</v>
      </c>
      <c r="AB60" s="799" t="s">
        <v>536</v>
      </c>
      <c r="AC60" s="523">
        <f t="shared" si="15"/>
        <v>1102430.580723501</v>
      </c>
    </row>
    <row r="61" spans="1:29">
      <c r="A61" s="134"/>
      <c r="C61" s="414"/>
      <c r="D61" s="414"/>
      <c r="E61" s="15"/>
      <c r="F61" s="15"/>
      <c r="G61" s="240"/>
      <c r="H61" s="15"/>
      <c r="I61" s="246"/>
      <c r="J61" s="15"/>
      <c r="K61" s="15"/>
      <c r="L61" s="245"/>
      <c r="M61" s="244"/>
      <c r="O61" s="20"/>
      <c r="P61" s="2"/>
      <c r="Q61" s="2"/>
      <c r="R61" s="2"/>
      <c r="S61" s="47"/>
      <c r="T61" s="468"/>
      <c r="U61" s="47"/>
      <c r="V61" s="139"/>
      <c r="W61" s="139"/>
      <c r="X61" s="132"/>
      <c r="Y61" s="176"/>
      <c r="Z61" s="189"/>
      <c r="AB61" s="800"/>
    </row>
    <row r="62" spans="1:29">
      <c r="A62" s="134">
        <v>2010</v>
      </c>
      <c r="B62" s="440">
        <f>A62+5</f>
        <v>2015</v>
      </c>
      <c r="C62" s="515">
        <f>VLOOKUP($A62,'Brd Tbl'!$A$8:$AX$64,16)</f>
        <v>696926.54247166798</v>
      </c>
      <c r="D62" s="648"/>
      <c r="E62" s="7">
        <v>48</v>
      </c>
      <c r="F62" s="7">
        <v>46</v>
      </c>
      <c r="G62" s="580">
        <v>470150.41462091741</v>
      </c>
      <c r="H62" s="576">
        <v>2.5737937735974676</v>
      </c>
      <c r="I62" s="579">
        <v>0.36558117697059006</v>
      </c>
      <c r="J62" s="7">
        <v>2263895.6102893078</v>
      </c>
      <c r="K62" s="7">
        <v>353334.21710914589</v>
      </c>
      <c r="L62" s="581">
        <v>0.51865494405647705</v>
      </c>
      <c r="M62" s="243">
        <v>132440739963.85358</v>
      </c>
      <c r="N62" s="440">
        <f>D62-$E$62</f>
        <v>-48</v>
      </c>
      <c r="O62" s="518">
        <f>N62^2</f>
        <v>2304</v>
      </c>
      <c r="P62" s="513">
        <f>J62</f>
        <v>2263895.6102893078</v>
      </c>
      <c r="Q62" s="899">
        <f>$P62-(SQRT(O65)*Q65)</f>
        <v>1790430.3751309505</v>
      </c>
      <c r="R62" s="899">
        <f>$P62+SQRT(O65)*Q65</f>
        <v>2737360.8454476651</v>
      </c>
      <c r="S62" s="169"/>
      <c r="T62" s="227"/>
      <c r="U62" s="519">
        <f>A62</f>
        <v>2010</v>
      </c>
      <c r="V62" s="442">
        <f>C62</f>
        <v>696926.54247166798</v>
      </c>
      <c r="W62" s="442">
        <f>(+G62+H62*C62)</f>
        <v>2263895.6102893078</v>
      </c>
      <c r="X62" s="132"/>
      <c r="Y62" s="521">
        <f>W62-SQRT(O65)*Q65</f>
        <v>1790430.3751309505</v>
      </c>
      <c r="Z62" s="522">
        <f>W62+SQRT(O65)*Q65</f>
        <v>2737360.8454476651</v>
      </c>
      <c r="AA62" s="440">
        <f>W62</f>
        <v>2263895.6102893078</v>
      </c>
      <c r="AB62" s="799" t="s">
        <v>541</v>
      </c>
    </row>
    <row r="63" spans="1:29">
      <c r="A63" s="26"/>
      <c r="B63" s="42"/>
      <c r="C63" s="42"/>
      <c r="D63" s="42"/>
      <c r="E63" s="42"/>
      <c r="F63" s="42"/>
      <c r="G63" s="141"/>
      <c r="H63" s="174"/>
      <c r="I63" s="42"/>
      <c r="J63" s="42"/>
      <c r="K63" s="42"/>
      <c r="L63" s="42"/>
      <c r="M63" s="180"/>
      <c r="N63" s="42"/>
      <c r="O63" s="190"/>
      <c r="P63" s="42"/>
      <c r="Q63" s="42"/>
      <c r="R63" s="42"/>
      <c r="S63" s="49"/>
      <c r="U63" s="49"/>
      <c r="V63" s="27"/>
      <c r="W63" s="49"/>
      <c r="X63" s="49"/>
      <c r="Y63" s="42"/>
      <c r="Z63" s="49"/>
      <c r="AB63" s="49"/>
    </row>
    <row r="64" spans="1:29">
      <c r="A64" s="23"/>
      <c r="E64" s="54" t="s">
        <v>184</v>
      </c>
      <c r="F64" s="440">
        <f>F60</f>
        <v>45</v>
      </c>
      <c r="G64" s="127"/>
      <c r="H64" s="9"/>
      <c r="M64" s="224" t="s">
        <v>185</v>
      </c>
      <c r="O64" s="919">
        <f>AVERAGE(INDEX(O$13:O$61,COUNT(O$13:O$61)-1,0):INDEX(O$13:O$61,(COUNT(O$13:O$61)-(COUNT(O$13:O$61)-1)),0))</f>
        <v>132873144585.5583</v>
      </c>
      <c r="P64" s="54" t="s">
        <v>186</v>
      </c>
      <c r="Q64" s="440">
        <f>VLOOKUP(F64,ttab!$A$4:$G$44,4)</f>
        <v>1.3009999999999999</v>
      </c>
      <c r="S64" s="47"/>
      <c r="T64" s="227"/>
      <c r="U64" s="47"/>
      <c r="V64" s="23"/>
    </row>
    <row r="65" spans="1:22" ht="15.75">
      <c r="A65" s="23"/>
      <c r="E65" s="54" t="s">
        <v>184</v>
      </c>
      <c r="F65" s="440">
        <f>F62</f>
        <v>46</v>
      </c>
      <c r="G65" s="127"/>
      <c r="M65" s="224" t="s">
        <v>188</v>
      </c>
      <c r="O65" s="518">
        <f>AVERAGEA(O13:O61)</f>
        <v>132440739963.85358</v>
      </c>
      <c r="P65" s="54" t="s">
        <v>186</v>
      </c>
      <c r="Q65" s="440">
        <f>VLOOKUP(F65,ttab!$A$4:$G$44,4)</f>
        <v>1.3009999999999999</v>
      </c>
      <c r="R65" t="s">
        <v>190</v>
      </c>
      <c r="S65" s="486">
        <f>AVERAGEA(S13:S61)</f>
        <v>0.14468399628836257</v>
      </c>
      <c r="T65" s="516">
        <f>AVERAGEA(T13:T61)</f>
        <v>0.32626201383849496</v>
      </c>
      <c r="U65" s="169"/>
      <c r="V65" s="23"/>
    </row>
    <row r="66" spans="1:22">
      <c r="A66" s="42"/>
      <c r="B66" s="42"/>
      <c r="C66" s="42"/>
      <c r="D66" s="42"/>
      <c r="E66" s="42"/>
      <c r="F66" s="42"/>
      <c r="G66" s="141"/>
      <c r="H66" s="42"/>
      <c r="I66" s="42"/>
      <c r="J66" s="42"/>
      <c r="K66" s="42"/>
      <c r="L66" s="42"/>
      <c r="M66" s="180"/>
      <c r="N66" s="42"/>
      <c r="O66" s="42"/>
      <c r="P66" s="42"/>
      <c r="Q66" s="42"/>
      <c r="R66" s="42"/>
      <c r="S66" s="49"/>
      <c r="T66" s="49"/>
      <c r="U66" s="49"/>
    </row>
    <row r="69" spans="1:22">
      <c r="C69" s="414"/>
    </row>
  </sheetData>
  <sortState ref="A13:Z60">
    <sortCondition ref="B13"/>
  </sortState>
  <phoneticPr fontId="60" type="noConversion"/>
  <pageMargins left="0.55000000000000004" right="0.50800000000000001" top="0.5" bottom="1" header="0.5" footer="0.5"/>
  <pageSetup scale="37" orientation="portrait" horizontalDpi="300" verticalDpi="300" r:id="rId1"/>
  <headerFooter alignWithMargins="0"/>
  <drawing r:id="rId2"/>
  <legacyDrawing r:id="rId3"/>
  <controls>
    <mc:AlternateContent xmlns:mc="http://schemas.openxmlformats.org/markup-compatibility/2006">
      <mc:Choice Requires="x14">
        <control shapeId="9236" r:id="rId4" name="CommandButton1">
          <controlPr defaultSize="0" autoLine="0" r:id="rId5">
            <anchor moveWithCells="1">
              <from>
                <xdr:col>8</xdr:col>
                <xdr:colOff>1038225</xdr:colOff>
                <xdr:row>2</xdr:row>
                <xdr:rowOff>9525</xdr:rowOff>
              </from>
              <to>
                <xdr:col>12</xdr:col>
                <xdr:colOff>962025</xdr:colOff>
                <xdr:row>6</xdr:row>
                <xdr:rowOff>38100</xdr:rowOff>
              </to>
            </anchor>
          </controlPr>
        </control>
      </mc:Choice>
      <mc:Fallback>
        <control shapeId="9236" r:id="rId4" name="CommandButton1"/>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14"/>
  <dimension ref="A1:AI88"/>
  <sheetViews>
    <sheetView zoomScale="75" workbookViewId="0">
      <pane ySplit="11" topLeftCell="A41" activePane="bottomLeft" state="frozen"/>
      <selection activeCell="W48" sqref="W48"/>
      <selection pane="bottomLeft" activeCell="M62" sqref="M62"/>
    </sheetView>
  </sheetViews>
  <sheetFormatPr defaultColWidth="9.6640625" defaultRowHeight="15"/>
  <cols>
    <col min="1" max="2" width="6.6640625" customWidth="1"/>
    <col min="5" max="5" width="3.6640625" customWidth="1"/>
    <col min="6" max="6" width="4.21875" customWidth="1"/>
    <col min="7" max="7" width="9.6640625" style="10"/>
    <col min="8" max="8" width="8.77734375" customWidth="1"/>
    <col min="9" max="9" width="12.109375" customWidth="1"/>
    <col min="10" max="11" width="7.6640625" customWidth="1"/>
    <col min="12" max="12" width="8.6640625" style="10" customWidth="1"/>
    <col min="13" max="13" width="9.6640625" style="10"/>
    <col min="15" max="15" width="12.5546875" bestFit="1" customWidth="1"/>
    <col min="19" max="19" width="8" customWidth="1"/>
    <col min="20" max="20" width="13.44140625" bestFit="1" customWidth="1"/>
    <col min="21" max="21" width="8.6640625" customWidth="1"/>
    <col min="24" max="24" width="10" bestFit="1" customWidth="1"/>
    <col min="25" max="25" width="10" customWidth="1"/>
  </cols>
  <sheetData>
    <row r="1" spans="1:34">
      <c r="A1" t="s">
        <v>0</v>
      </c>
      <c r="B1" s="440" t="str">
        <f ca="1">CELL("filename",B2)</f>
        <v>O:\DCF\SALMON\FORECAST\2015\[2015_Copper River Wild Sockeye forecast_FINAL.xlsm]ln22xBYE</v>
      </c>
      <c r="G1" t="s">
        <v>212</v>
      </c>
      <c r="H1" s="10"/>
    </row>
    <row r="2" spans="1:34">
      <c r="G2" s="242" t="s">
        <v>154</v>
      </c>
      <c r="H2" s="191" t="s">
        <v>213</v>
      </c>
    </row>
    <row r="3" spans="1:34">
      <c r="G3" s="242" t="s">
        <v>155</v>
      </c>
      <c r="H3" s="191" t="s">
        <v>214</v>
      </c>
    </row>
    <row r="4" spans="1:34">
      <c r="G4" s="54" t="s">
        <v>253</v>
      </c>
      <c r="H4" s="241">
        <v>5</v>
      </c>
    </row>
    <row r="5" spans="1:34">
      <c r="B5" s="13"/>
      <c r="C5" s="8"/>
    </row>
    <row r="6" spans="1:34">
      <c r="B6" s="13"/>
    </row>
    <row r="7" spans="1:34">
      <c r="M7" s="191"/>
    </row>
    <row r="8" spans="1:34">
      <c r="AA8" t="s">
        <v>156</v>
      </c>
    </row>
    <row r="9" spans="1:34">
      <c r="A9" s="123"/>
      <c r="B9" s="123"/>
      <c r="C9" s="121" t="s">
        <v>157</v>
      </c>
      <c r="D9" s="126"/>
      <c r="E9" s="121"/>
      <c r="F9" s="119"/>
      <c r="G9" s="192"/>
      <c r="H9" s="119" t="s">
        <v>158</v>
      </c>
      <c r="I9" s="119"/>
      <c r="J9" s="119"/>
      <c r="K9" s="119"/>
      <c r="L9" s="192"/>
      <c r="M9" s="187"/>
      <c r="N9" s="121" t="s">
        <v>159</v>
      </c>
      <c r="O9" s="119"/>
      <c r="P9" s="119"/>
      <c r="Q9" s="119"/>
      <c r="R9" s="126"/>
      <c r="S9" s="121" t="s">
        <v>160</v>
      </c>
      <c r="T9" s="119"/>
      <c r="U9" s="119"/>
      <c r="V9" s="119"/>
      <c r="W9" s="126"/>
      <c r="X9" s="122" t="s">
        <v>109</v>
      </c>
      <c r="Y9" s="415" t="s">
        <v>329</v>
      </c>
      <c r="Z9" s="164" t="s">
        <v>161</v>
      </c>
      <c r="AA9" s="164" t="s">
        <v>162</v>
      </c>
      <c r="AB9" s="164" t="s">
        <v>163</v>
      </c>
      <c r="AC9" s="164" t="s">
        <v>164</v>
      </c>
      <c r="AD9" s="158" t="s">
        <v>25</v>
      </c>
      <c r="AE9" s="159"/>
    </row>
    <row r="10" spans="1:34">
      <c r="A10" s="100" t="s">
        <v>23</v>
      </c>
      <c r="B10" s="139" t="s">
        <v>29</v>
      </c>
      <c r="C10" s="209" t="s">
        <v>165</v>
      </c>
      <c r="D10" s="209" t="s">
        <v>166</v>
      </c>
      <c r="E10" s="123"/>
      <c r="F10" s="123"/>
      <c r="G10" s="179"/>
      <c r="H10" s="123"/>
      <c r="I10" s="209" t="s">
        <v>167</v>
      </c>
      <c r="J10" s="209" t="s">
        <v>168</v>
      </c>
      <c r="K10" s="209" t="s">
        <v>167</v>
      </c>
      <c r="L10" s="179"/>
      <c r="M10" s="226" t="s">
        <v>169</v>
      </c>
      <c r="N10" s="123"/>
      <c r="O10" s="123"/>
      <c r="P10" s="122" t="s">
        <v>24</v>
      </c>
      <c r="Q10" s="122" t="s">
        <v>170</v>
      </c>
      <c r="R10" s="122" t="s">
        <v>171</v>
      </c>
      <c r="S10" s="123"/>
      <c r="T10" s="123"/>
      <c r="U10" s="122" t="s">
        <v>24</v>
      </c>
      <c r="V10" s="122" t="s">
        <v>170</v>
      </c>
      <c r="W10" s="122" t="s">
        <v>171</v>
      </c>
      <c r="X10" s="100" t="s">
        <v>115</v>
      </c>
      <c r="Y10" s="416" t="s">
        <v>323</v>
      </c>
      <c r="Z10" s="139"/>
      <c r="AA10" s="122" t="s">
        <v>172</v>
      </c>
      <c r="AB10" s="122" t="s">
        <v>112</v>
      </c>
      <c r="AC10" s="122" t="s">
        <v>29</v>
      </c>
      <c r="AD10" s="164" t="s">
        <v>173</v>
      </c>
      <c r="AE10" s="164" t="s">
        <v>174</v>
      </c>
    </row>
    <row r="11" spans="1:34" ht="16.899999999999999" customHeight="1">
      <c r="A11" s="125" t="s">
        <v>27</v>
      </c>
      <c r="B11" s="27" t="s">
        <v>27</v>
      </c>
      <c r="C11" s="163" t="s">
        <v>161</v>
      </c>
      <c r="D11" s="214" t="s">
        <v>240</v>
      </c>
      <c r="E11" s="188" t="s">
        <v>175</v>
      </c>
      <c r="F11" s="188" t="s">
        <v>176</v>
      </c>
      <c r="G11" s="214" t="s">
        <v>152</v>
      </c>
      <c r="H11" s="215" t="s">
        <v>177</v>
      </c>
      <c r="I11" s="216" t="s">
        <v>177</v>
      </c>
      <c r="J11" s="214" t="s">
        <v>239</v>
      </c>
      <c r="K11" s="188" t="s">
        <v>168</v>
      </c>
      <c r="L11" s="188" t="s">
        <v>241</v>
      </c>
      <c r="M11" s="217" t="s">
        <v>178</v>
      </c>
      <c r="N11" s="188" t="s">
        <v>242</v>
      </c>
      <c r="O11" s="217" t="s">
        <v>243</v>
      </c>
      <c r="P11" s="214" t="s">
        <v>239</v>
      </c>
      <c r="Q11" s="188" t="s">
        <v>244</v>
      </c>
      <c r="R11" s="188" t="s">
        <v>244</v>
      </c>
      <c r="S11" s="188" t="s">
        <v>242</v>
      </c>
      <c r="T11" s="217" t="s">
        <v>243</v>
      </c>
      <c r="U11" s="214" t="s">
        <v>239</v>
      </c>
      <c r="V11" s="188" t="s">
        <v>244</v>
      </c>
      <c r="W11" s="188" t="s">
        <v>244</v>
      </c>
      <c r="X11" s="234" t="s">
        <v>245</v>
      </c>
      <c r="Y11" s="555" t="s">
        <v>115</v>
      </c>
      <c r="Z11" s="125" t="s">
        <v>200</v>
      </c>
      <c r="AA11" s="125" t="s">
        <v>179</v>
      </c>
      <c r="AB11" s="125" t="s">
        <v>179</v>
      </c>
      <c r="AC11" s="125" t="s">
        <v>27</v>
      </c>
      <c r="AD11" s="164" t="s">
        <v>170</v>
      </c>
      <c r="AE11" s="164" t="s">
        <v>171</v>
      </c>
      <c r="AF11" s="164" t="s">
        <v>111</v>
      </c>
      <c r="AH11" s="8"/>
    </row>
    <row r="12" spans="1:34">
      <c r="A12" s="36"/>
      <c r="B12" s="31"/>
      <c r="C12" s="31"/>
      <c r="D12" s="31"/>
      <c r="E12" s="31"/>
      <c r="F12" s="31"/>
      <c r="G12" s="145"/>
      <c r="H12" s="31"/>
      <c r="I12" s="31"/>
      <c r="J12" s="31"/>
      <c r="K12" s="31"/>
      <c r="L12" s="145"/>
      <c r="M12" s="145"/>
      <c r="N12" s="31"/>
      <c r="O12" s="31"/>
      <c r="P12" s="31"/>
      <c r="Q12" s="31"/>
      <c r="R12" s="31"/>
      <c r="S12" s="31"/>
      <c r="T12" s="31"/>
      <c r="U12" s="31"/>
      <c r="V12" s="31"/>
      <c r="W12" s="31"/>
      <c r="X12" s="46"/>
      <c r="Y12" s="46"/>
      <c r="Z12" s="123"/>
      <c r="AA12" s="123"/>
      <c r="AB12" s="123"/>
      <c r="AC12" s="123"/>
      <c r="AD12" s="36"/>
      <c r="AE12" s="46"/>
    </row>
    <row r="13" spans="1:34">
      <c r="A13" s="134">
        <v>1962</v>
      </c>
      <c r="B13" s="479">
        <f t="shared" ref="B13:B60" si="0">A13+$H$4</f>
        <v>1967</v>
      </c>
      <c r="C13" s="480">
        <f>VLOOKUP($A13,'Brd Tbl'!$A$8:$AX$64,3)</f>
        <v>12.93866450628777</v>
      </c>
      <c r="D13" s="458">
        <f>VLOOKUP($A13,'Brd Tbl'!$A$8:$AX$64,28)</f>
        <v>9.1830558095757926</v>
      </c>
      <c r="E13" s="7">
        <v>47</v>
      </c>
      <c r="F13" s="7">
        <v>45</v>
      </c>
      <c r="G13" s="576">
        <v>5.2736796434385651</v>
      </c>
      <c r="H13" s="576">
        <v>0.36108259104752038</v>
      </c>
      <c r="I13" s="579">
        <v>0.23893764456418423</v>
      </c>
      <c r="J13" s="7">
        <v>9.9456061480635398</v>
      </c>
      <c r="K13" s="7">
        <v>0.70754299684812383</v>
      </c>
      <c r="L13" s="7">
        <v>4.8298345585104159E-2</v>
      </c>
      <c r="M13" s="576">
        <v>0.51844889019251295</v>
      </c>
      <c r="N13" s="440">
        <f t="shared" ref="N13:N60" si="1">D13-J13</f>
        <v>-0.76255033848774723</v>
      </c>
      <c r="O13" s="440">
        <f t="shared" ref="O13:O60" si="2">N13^2</f>
        <v>0.58148301872777786</v>
      </c>
      <c r="P13" s="465">
        <f t="shared" ref="P13:P60" si="3">J13</f>
        <v>9.9456061480635398</v>
      </c>
      <c r="Q13" s="440">
        <f t="shared" ref="Q13:Q19" si="4">$P13-SQRT($O$64)*$Q$64</f>
        <v>9.0335535141306824</v>
      </c>
      <c r="R13" s="440">
        <f t="shared" ref="R13:R60" si="5">$P13+SQRT($O$64)*$Q$64</f>
        <v>10.857658781996397</v>
      </c>
      <c r="S13" s="466">
        <f t="shared" ref="S13:S36" si="6">EXP(D13)-U13</f>
        <v>-11129.520384931995</v>
      </c>
      <c r="T13" s="440">
        <f t="shared" ref="T13:T60" si="7">S13^2</f>
        <v>123866223.99861683</v>
      </c>
      <c r="U13" s="466">
        <f t="shared" ref="U13:U60" si="8">EXP(P13)</f>
        <v>20860.363374117966</v>
      </c>
      <c r="V13" s="467">
        <f t="shared" ref="V13:V60" si="9">EXP(Q13)</f>
        <v>8379.5836974260656</v>
      </c>
      <c r="W13" s="467">
        <f t="shared" ref="W13:W60" si="10">EXP(R13)</f>
        <v>51930.355470273258</v>
      </c>
      <c r="X13" s="468">
        <f t="shared" ref="X13:X60" si="11">(+U13-EXP(D13))/(EXP(D13))</f>
        <v>1.1437365084710951</v>
      </c>
      <c r="Y13" s="468">
        <f t="shared" ref="Y13:Y60" si="12">ABS(X13)</f>
        <v>1.1437365084710951</v>
      </c>
      <c r="Z13" s="517">
        <f t="shared" ref="Z13:Z60" si="13">C13</f>
        <v>12.93866450628777</v>
      </c>
      <c r="AA13" s="471">
        <f t="shared" ref="AA13:AA60" si="14">G$62+(H$62*C13)</f>
        <v>9.9275068521884187</v>
      </c>
      <c r="AB13" s="473">
        <f t="shared" ref="AB13:AB60" si="15">D13</f>
        <v>9.1830558095757926</v>
      </c>
      <c r="AC13" s="801">
        <f t="shared" ref="AC13:AC45" si="16">B13-1900</f>
        <v>67</v>
      </c>
      <c r="AD13" s="435">
        <f t="shared" ref="AD13:AD60" si="17">AA13-SQRT($O$64)*$Q$64</f>
        <v>9.0154542182555613</v>
      </c>
      <c r="AE13" s="441">
        <f t="shared" ref="AE13:AE60" si="18">AA13+SQRT($O$64)*$Q$64</f>
        <v>10.839559486121276</v>
      </c>
    </row>
    <row r="14" spans="1:34">
      <c r="A14" s="134">
        <v>1963</v>
      </c>
      <c r="B14" s="479">
        <f t="shared" si="0"/>
        <v>1968</v>
      </c>
      <c r="C14" s="480">
        <f>VLOOKUP($A14,'Brd Tbl'!$A$8:$AX$64,3)</f>
        <v>12.509901232533091</v>
      </c>
      <c r="D14" s="458">
        <f>VLOOKUP($A14,'Brd Tbl'!$A$8:$AX$64,28)</f>
        <v>9.361806906405409</v>
      </c>
      <c r="E14" s="7">
        <v>47</v>
      </c>
      <c r="F14" s="7">
        <v>45</v>
      </c>
      <c r="G14" s="576">
        <v>5.4630117651580452</v>
      </c>
      <c r="H14" s="576">
        <v>0.34610049594870718</v>
      </c>
      <c r="I14" s="579">
        <v>0.24564701153685739</v>
      </c>
      <c r="J14" s="7">
        <v>9.7926947860070914</v>
      </c>
      <c r="K14" s="7">
        <v>0.71369096883341199</v>
      </c>
      <c r="L14" s="7">
        <v>4.2249478863211398E-2</v>
      </c>
      <c r="M14" s="576">
        <v>0.52687056368060114</v>
      </c>
      <c r="N14" s="440">
        <f t="shared" si="1"/>
        <v>-0.4308878796016824</v>
      </c>
      <c r="O14" s="440">
        <f t="shared" si="2"/>
        <v>0.18566436478763396</v>
      </c>
      <c r="P14" s="465">
        <f t="shared" si="3"/>
        <v>9.7926947860070914</v>
      </c>
      <c r="Q14" s="440">
        <f t="shared" si="4"/>
        <v>8.880642152074234</v>
      </c>
      <c r="R14" s="440">
        <f t="shared" si="5"/>
        <v>10.704747419939949</v>
      </c>
      <c r="S14" s="466">
        <f t="shared" si="6"/>
        <v>-6267.0909617174893</v>
      </c>
      <c r="T14" s="440">
        <f t="shared" si="7"/>
        <v>39276429.122441046</v>
      </c>
      <c r="U14" s="466">
        <f t="shared" si="8"/>
        <v>17902.484588209787</v>
      </c>
      <c r="V14" s="467">
        <f t="shared" si="9"/>
        <v>7191.407230466195</v>
      </c>
      <c r="W14" s="467">
        <f t="shared" si="10"/>
        <v>44566.931639374299</v>
      </c>
      <c r="X14" s="468">
        <f t="shared" si="11"/>
        <v>0.53862302925860006</v>
      </c>
      <c r="Y14" s="468">
        <f t="shared" si="12"/>
        <v>0.53862302925860006</v>
      </c>
      <c r="Z14" s="517">
        <f t="shared" si="13"/>
        <v>12.509901232533091</v>
      </c>
      <c r="AA14" s="471">
        <f t="shared" si="14"/>
        <v>9.7667489006971699</v>
      </c>
      <c r="AB14" s="473">
        <f t="shared" si="15"/>
        <v>9.361806906405409</v>
      </c>
      <c r="AC14" s="801">
        <f t="shared" si="16"/>
        <v>68</v>
      </c>
      <c r="AD14" s="435">
        <f t="shared" si="17"/>
        <v>8.8546962667643125</v>
      </c>
      <c r="AE14" s="441">
        <f t="shared" si="18"/>
        <v>10.678801534630027</v>
      </c>
    </row>
    <row r="15" spans="1:34">
      <c r="A15" s="134">
        <v>1964</v>
      </c>
      <c r="B15" s="479">
        <f t="shared" si="0"/>
        <v>1969</v>
      </c>
      <c r="C15" s="480">
        <f>VLOOKUP($A15,'Brd Tbl'!$A$8:$AX$64,3)</f>
        <v>12.363034509999967</v>
      </c>
      <c r="D15" s="458">
        <f>VLOOKUP($A15,'Brd Tbl'!$A$8:$AX$64,28)</f>
        <v>10.044501496465394</v>
      </c>
      <c r="E15" s="7">
        <v>47</v>
      </c>
      <c r="F15" s="7">
        <v>45</v>
      </c>
      <c r="G15" s="576">
        <v>4.6715911286669645</v>
      </c>
      <c r="H15" s="576">
        <v>0.40525939897834662</v>
      </c>
      <c r="I15" s="579">
        <v>0.24887986807015414</v>
      </c>
      <c r="J15" s="7">
        <v>9.6818270637381083</v>
      </c>
      <c r="K15" s="7">
        <v>0.71452775387598622</v>
      </c>
      <c r="L15" s="7">
        <v>5.5642976930979485E-2</v>
      </c>
      <c r="M15" s="576">
        <v>0.52802230028982622</v>
      </c>
      <c r="N15" s="440">
        <f t="shared" si="1"/>
        <v>0.36267443272728528</v>
      </c>
      <c r="O15" s="440">
        <f t="shared" si="2"/>
        <v>0.13153274415405816</v>
      </c>
      <c r="P15" s="465">
        <f t="shared" si="3"/>
        <v>9.6818270637381083</v>
      </c>
      <c r="Q15" s="440">
        <f t="shared" si="4"/>
        <v>8.7697744298052509</v>
      </c>
      <c r="R15" s="440">
        <f t="shared" si="5"/>
        <v>10.593879697670966</v>
      </c>
      <c r="S15" s="466">
        <f t="shared" si="6"/>
        <v>7005.0674648543281</v>
      </c>
      <c r="T15" s="440">
        <f t="shared" si="7"/>
        <v>49070970.187160641</v>
      </c>
      <c r="U15" s="466">
        <f t="shared" si="8"/>
        <v>16023.746604756238</v>
      </c>
      <c r="V15" s="467">
        <f t="shared" si="9"/>
        <v>6436.7203683276703</v>
      </c>
      <c r="W15" s="467">
        <f t="shared" si="10"/>
        <v>39889.950248086694</v>
      </c>
      <c r="X15" s="468">
        <f t="shared" si="11"/>
        <v>-0.30418706945480101</v>
      </c>
      <c r="Y15" s="468">
        <f t="shared" si="12"/>
        <v>0.30418706945480101</v>
      </c>
      <c r="Z15" s="517">
        <f t="shared" si="13"/>
        <v>12.363034509999967</v>
      </c>
      <c r="AA15" s="471">
        <f t="shared" si="14"/>
        <v>9.7116835653434563</v>
      </c>
      <c r="AB15" s="473">
        <f t="shared" si="15"/>
        <v>10.044501496465394</v>
      </c>
      <c r="AC15" s="801">
        <f t="shared" si="16"/>
        <v>69</v>
      </c>
      <c r="AD15" s="435">
        <f t="shared" si="17"/>
        <v>8.7996309314105989</v>
      </c>
      <c r="AE15" s="441">
        <f t="shared" si="18"/>
        <v>10.623736199276314</v>
      </c>
    </row>
    <row r="16" spans="1:34">
      <c r="A16" s="134">
        <v>1965</v>
      </c>
      <c r="B16" s="479">
        <f t="shared" si="0"/>
        <v>1970</v>
      </c>
      <c r="C16" s="480">
        <f>VLOOKUP($A16,'Brd Tbl'!$A$8:$AX$64,3)</f>
        <v>12.830842533031001</v>
      </c>
      <c r="D16" s="458">
        <f>VLOOKUP($A16,'Brd Tbl'!$A$8:$AX$64,28)</f>
        <v>10.149185406051224</v>
      </c>
      <c r="E16" s="7">
        <v>47</v>
      </c>
      <c r="F16" s="7">
        <v>45</v>
      </c>
      <c r="G16" s="576">
        <v>4.9631690297110671</v>
      </c>
      <c r="H16" s="576">
        <v>0.38314637625907261</v>
      </c>
      <c r="I16" s="579">
        <v>0.2422093561578427</v>
      </c>
      <c r="J16" s="7">
        <v>9.8792598505926748</v>
      </c>
      <c r="K16" s="7">
        <v>0.71530415907945155</v>
      </c>
      <c r="L16" s="7">
        <v>5.2678395950392587E-2</v>
      </c>
      <c r="M16" s="576">
        <v>0.52927066068694217</v>
      </c>
      <c r="N16" s="440">
        <f t="shared" si="1"/>
        <v>0.26992555545854913</v>
      </c>
      <c r="O16" s="440">
        <f t="shared" si="2"/>
        <v>7.2859805489606286E-2</v>
      </c>
      <c r="P16" s="465">
        <f t="shared" si="3"/>
        <v>9.8792598505926748</v>
      </c>
      <c r="Q16" s="440">
        <f t="shared" si="4"/>
        <v>8.9672072166598173</v>
      </c>
      <c r="R16" s="440">
        <f t="shared" si="5"/>
        <v>10.791312484525532</v>
      </c>
      <c r="S16" s="466">
        <f t="shared" si="6"/>
        <v>6048.9956798061939</v>
      </c>
      <c r="T16" s="440">
        <f t="shared" si="7"/>
        <v>36590348.734314002</v>
      </c>
      <c r="U16" s="466">
        <f t="shared" si="8"/>
        <v>19521.268658236542</v>
      </c>
      <c r="V16" s="467">
        <f t="shared" si="9"/>
        <v>7841.670908024149</v>
      </c>
      <c r="W16" s="467">
        <f t="shared" si="10"/>
        <v>48596.776694250271</v>
      </c>
      <c r="X16" s="468">
        <f t="shared" si="11"/>
        <v>-0.23656367411136475</v>
      </c>
      <c r="Y16" s="468">
        <f t="shared" si="12"/>
        <v>0.23656367411136475</v>
      </c>
      <c r="Z16" s="517">
        <f t="shared" si="13"/>
        <v>12.830842533031001</v>
      </c>
      <c r="AA16" s="471">
        <f t="shared" si="14"/>
        <v>9.8870807228823452</v>
      </c>
      <c r="AB16" s="473">
        <f t="shared" si="15"/>
        <v>10.149185406051224</v>
      </c>
      <c r="AC16" s="801">
        <f t="shared" si="16"/>
        <v>70</v>
      </c>
      <c r="AD16" s="435">
        <f t="shared" si="17"/>
        <v>8.9750280889494878</v>
      </c>
      <c r="AE16" s="441">
        <f t="shared" si="18"/>
        <v>10.799133356815203</v>
      </c>
    </row>
    <row r="17" spans="1:31">
      <c r="A17" s="134">
        <v>1966</v>
      </c>
      <c r="B17" s="479">
        <f t="shared" si="0"/>
        <v>1971</v>
      </c>
      <c r="C17" s="480">
        <f>VLOOKUP($A17,'Brd Tbl'!$A$8:$AX$64,3)</f>
        <v>12.833809203630931</v>
      </c>
      <c r="D17" s="458">
        <f>VLOOKUP($A17,'Brd Tbl'!$A$8:$AX$64,28)</f>
        <v>9.5831284261943281</v>
      </c>
      <c r="E17" s="7">
        <v>47</v>
      </c>
      <c r="F17" s="7">
        <v>45</v>
      </c>
      <c r="G17" s="576">
        <v>5.2066932237716008</v>
      </c>
      <c r="H17" s="576">
        <v>0.36548341975167431</v>
      </c>
      <c r="I17" s="579">
        <v>0.24205505830508625</v>
      </c>
      <c r="J17" s="7">
        <v>9.897237699955145</v>
      </c>
      <c r="K17" s="7">
        <v>0.71491455482117805</v>
      </c>
      <c r="L17" s="7">
        <v>4.822041099815573E-2</v>
      </c>
      <c r="M17" s="576">
        <v>0.52872162174283699</v>
      </c>
      <c r="N17" s="440">
        <f t="shared" si="1"/>
        <v>-0.31410927376081688</v>
      </c>
      <c r="O17" s="440">
        <f t="shared" si="2"/>
        <v>9.8664635862547798E-2</v>
      </c>
      <c r="P17" s="465">
        <f t="shared" si="3"/>
        <v>9.897237699955145</v>
      </c>
      <c r="Q17" s="440">
        <f t="shared" si="4"/>
        <v>8.9851850660222876</v>
      </c>
      <c r="R17" s="440">
        <f t="shared" si="5"/>
        <v>10.809290333888002</v>
      </c>
      <c r="S17" s="466">
        <f t="shared" si="6"/>
        <v>-5357.6266495355667</v>
      </c>
      <c r="T17" s="440">
        <f t="shared" si="7"/>
        <v>28704163.315813702</v>
      </c>
      <c r="U17" s="466">
        <f t="shared" si="8"/>
        <v>19875.39274247854</v>
      </c>
      <c r="V17" s="467">
        <f t="shared" si="9"/>
        <v>7983.9221406590477</v>
      </c>
      <c r="W17" s="467">
        <f t="shared" si="10"/>
        <v>49478.342812992414</v>
      </c>
      <c r="X17" s="468">
        <f t="shared" si="11"/>
        <v>0.36903932845011789</v>
      </c>
      <c r="Y17" s="468">
        <f t="shared" si="12"/>
        <v>0.36903932845011789</v>
      </c>
      <c r="Z17" s="517">
        <f t="shared" si="13"/>
        <v>12.833809203630931</v>
      </c>
      <c r="AA17" s="471">
        <f t="shared" si="14"/>
        <v>9.8881930287107274</v>
      </c>
      <c r="AB17" s="473">
        <f t="shared" si="15"/>
        <v>9.5831284261943281</v>
      </c>
      <c r="AC17" s="801">
        <f t="shared" si="16"/>
        <v>71</v>
      </c>
      <c r="AD17" s="435">
        <f t="shared" si="17"/>
        <v>8.97614039477787</v>
      </c>
      <c r="AE17" s="441">
        <f t="shared" si="18"/>
        <v>10.800245662643585</v>
      </c>
    </row>
    <row r="18" spans="1:31">
      <c r="A18" s="134">
        <v>1967</v>
      </c>
      <c r="B18" s="479">
        <f t="shared" si="0"/>
        <v>1972</v>
      </c>
      <c r="C18" s="480">
        <f>VLOOKUP($A18,'Brd Tbl'!$A$8:$AX$64,3)</f>
        <v>11.935039249830341</v>
      </c>
      <c r="D18" s="458">
        <f>VLOOKUP($A18,'Brd Tbl'!$A$8:$AX$64,28)</f>
        <v>9.0961528771355642</v>
      </c>
      <c r="E18" s="7">
        <v>47</v>
      </c>
      <c r="F18" s="7">
        <v>45</v>
      </c>
      <c r="G18" s="576">
        <v>6.0432498841310487</v>
      </c>
      <c r="H18" s="576">
        <v>0.30199384882974473</v>
      </c>
      <c r="I18" s="579">
        <v>0.26169851129471672</v>
      </c>
      <c r="J18" s="7">
        <v>9.6475583231213822</v>
      </c>
      <c r="K18" s="7">
        <v>0.71249994321509547</v>
      </c>
      <c r="L18" s="7">
        <v>2.8741922876620675E-2</v>
      </c>
      <c r="M18" s="576">
        <v>0.52435176365772485</v>
      </c>
      <c r="N18" s="440">
        <f t="shared" si="1"/>
        <v>-0.55140544598581798</v>
      </c>
      <c r="O18" s="440">
        <f t="shared" si="2"/>
        <v>0.30404796586281885</v>
      </c>
      <c r="P18" s="465">
        <f t="shared" si="3"/>
        <v>9.6475583231213822</v>
      </c>
      <c r="Q18" s="440">
        <f t="shared" si="4"/>
        <v>8.7355056891885248</v>
      </c>
      <c r="R18" s="440">
        <f t="shared" si="5"/>
        <v>10.55961095705424</v>
      </c>
      <c r="S18" s="466">
        <f t="shared" si="6"/>
        <v>-6563.028366207036</v>
      </c>
      <c r="T18" s="440">
        <f t="shared" si="7"/>
        <v>43073341.335638195</v>
      </c>
      <c r="U18" s="466">
        <f t="shared" si="8"/>
        <v>15483.935144222618</v>
      </c>
      <c r="V18" s="467">
        <f t="shared" si="9"/>
        <v>6219.8787326741149</v>
      </c>
      <c r="W18" s="467">
        <f t="shared" si="10"/>
        <v>38546.128928693048</v>
      </c>
      <c r="X18" s="468">
        <f t="shared" si="11"/>
        <v>0.73569072399464686</v>
      </c>
      <c r="Y18" s="468">
        <f t="shared" si="12"/>
        <v>0.73569072399464686</v>
      </c>
      <c r="Z18" s="517">
        <f t="shared" si="13"/>
        <v>11.935039249830341</v>
      </c>
      <c r="AA18" s="471">
        <f t="shared" si="14"/>
        <v>9.5512135682974879</v>
      </c>
      <c r="AB18" s="473">
        <f t="shared" si="15"/>
        <v>9.0961528771355642</v>
      </c>
      <c r="AC18" s="801">
        <f t="shared" si="16"/>
        <v>72</v>
      </c>
      <c r="AD18" s="435">
        <f t="shared" si="17"/>
        <v>8.6391609343646305</v>
      </c>
      <c r="AE18" s="441">
        <f t="shared" si="18"/>
        <v>10.463266202230345</v>
      </c>
    </row>
    <row r="19" spans="1:31">
      <c r="A19" s="134">
        <v>1968</v>
      </c>
      <c r="B19" s="479">
        <f t="shared" si="0"/>
        <v>1973</v>
      </c>
      <c r="C19" s="480">
        <f>VLOOKUP($A19,'Brd Tbl'!$A$8:$AX$64,3)</f>
        <v>12.366070916189516</v>
      </c>
      <c r="D19" s="458">
        <f>VLOOKUP($A19,'Brd Tbl'!$A$8:$AX$64,28)</f>
        <v>9.5747737376572584</v>
      </c>
      <c r="E19" s="7">
        <v>47</v>
      </c>
      <c r="F19" s="7">
        <v>45</v>
      </c>
      <c r="G19" s="576">
        <v>5.2434812978888479</v>
      </c>
      <c r="H19" s="576">
        <v>0.36241436688713646</v>
      </c>
      <c r="I19" s="579">
        <v>0.24935180698093068</v>
      </c>
      <c r="J19" s="7">
        <v>9.7251230598611027</v>
      </c>
      <c r="K19" s="7">
        <v>0.71608030410523904</v>
      </c>
      <c r="L19" s="7">
        <v>4.4838400542812989E-2</v>
      </c>
      <c r="M19" s="576">
        <v>0.53033991359763266</v>
      </c>
      <c r="N19" s="440">
        <f t="shared" si="1"/>
        <v>-0.15034932220384434</v>
      </c>
      <c r="O19" s="440">
        <f t="shared" si="2"/>
        <v>2.26049186871554E-2</v>
      </c>
      <c r="P19" s="465">
        <f t="shared" si="3"/>
        <v>9.7251230598611027</v>
      </c>
      <c r="Q19" s="440">
        <f t="shared" si="4"/>
        <v>8.8130704259282453</v>
      </c>
      <c r="R19" s="440">
        <f t="shared" si="5"/>
        <v>10.63717569379396</v>
      </c>
      <c r="S19" s="466">
        <f t="shared" si="6"/>
        <v>-2335.7684470262138</v>
      </c>
      <c r="T19" s="440">
        <f t="shared" si="7"/>
        <v>5455814.2381232511</v>
      </c>
      <c r="U19" s="466">
        <f t="shared" si="8"/>
        <v>16732.748393903792</v>
      </c>
      <c r="V19" s="467">
        <f t="shared" si="9"/>
        <v>6721.5255621412207</v>
      </c>
      <c r="W19" s="467">
        <f t="shared" si="10"/>
        <v>41654.958569330716</v>
      </c>
      <c r="X19" s="468">
        <f t="shared" si="11"/>
        <v>0.16224016812170361</v>
      </c>
      <c r="Y19" s="468">
        <f t="shared" si="12"/>
        <v>0.16224016812170361</v>
      </c>
      <c r="Z19" s="517">
        <f t="shared" si="13"/>
        <v>12.366070916189516</v>
      </c>
      <c r="AA19" s="471">
        <f t="shared" si="14"/>
        <v>9.7128220174190076</v>
      </c>
      <c r="AB19" s="473">
        <f t="shared" si="15"/>
        <v>9.5747737376572584</v>
      </c>
      <c r="AC19" s="801">
        <f t="shared" si="16"/>
        <v>73</v>
      </c>
      <c r="AD19" s="435">
        <f t="shared" si="17"/>
        <v>8.8007693834861502</v>
      </c>
      <c r="AE19" s="441">
        <f t="shared" si="18"/>
        <v>10.624874651351865</v>
      </c>
    </row>
    <row r="20" spans="1:31">
      <c r="A20" s="134">
        <v>1969</v>
      </c>
      <c r="B20" s="479">
        <f t="shared" si="0"/>
        <v>1974</v>
      </c>
      <c r="C20" s="480">
        <f>VLOOKUP($A20,'Brd Tbl'!$A$8:$AX$64,3)</f>
        <v>13.176515090476855</v>
      </c>
      <c r="D20" s="458">
        <f>VLOOKUP($A20,'Brd Tbl'!$A$8:$AX$64,28)</f>
        <v>10.676012017213226</v>
      </c>
      <c r="E20" s="7">
        <v>47</v>
      </c>
      <c r="F20" s="7">
        <v>45</v>
      </c>
      <c r="G20" s="576">
        <v>5.1406974093648126</v>
      </c>
      <c r="H20" s="576">
        <v>0.36895053268926198</v>
      </c>
      <c r="I20" s="579">
        <v>0.23932066340416963</v>
      </c>
      <c r="J20" s="7">
        <v>10.002179670984347</v>
      </c>
      <c r="K20" s="7">
        <v>0.70947828676120428</v>
      </c>
      <c r="L20" s="7">
        <v>5.0166176770330743E-2</v>
      </c>
      <c r="M20" s="576">
        <v>0.52116023036067161</v>
      </c>
      <c r="N20" s="440">
        <f t="shared" si="1"/>
        <v>0.67383234622887933</v>
      </c>
      <c r="O20" s="440">
        <f t="shared" si="2"/>
        <v>0.45405003082431633</v>
      </c>
      <c r="P20" s="465">
        <f t="shared" si="3"/>
        <v>10.002179670984347</v>
      </c>
      <c r="Q20" s="440">
        <f>$P20-(SQRT($O$64)*$Q$64)</f>
        <v>9.0901270370514897</v>
      </c>
      <c r="R20" s="440">
        <f t="shared" si="5"/>
        <v>10.914232304917205</v>
      </c>
      <c r="S20" s="466">
        <f t="shared" si="6"/>
        <v>21229.979299465409</v>
      </c>
      <c r="T20" s="440">
        <f t="shared" si="7"/>
        <v>450712021.05572981</v>
      </c>
      <c r="U20" s="466">
        <f t="shared" si="8"/>
        <v>22074.528604714735</v>
      </c>
      <c r="V20" s="467">
        <f t="shared" si="9"/>
        <v>8867.3124579381492</v>
      </c>
      <c r="W20" s="467">
        <f t="shared" si="10"/>
        <v>54952.931390631718</v>
      </c>
      <c r="X20" s="468">
        <f t="shared" si="11"/>
        <v>-0.49024871374686835</v>
      </c>
      <c r="Y20" s="468">
        <f t="shared" si="12"/>
        <v>0.49024871374686835</v>
      </c>
      <c r="Z20" s="517">
        <f t="shared" si="13"/>
        <v>13.176515090476855</v>
      </c>
      <c r="AA20" s="471">
        <f t="shared" si="14"/>
        <v>10.016685135441083</v>
      </c>
      <c r="AB20" s="473">
        <f t="shared" si="15"/>
        <v>10.676012017213226</v>
      </c>
      <c r="AC20" s="801">
        <f t="shared" si="16"/>
        <v>74</v>
      </c>
      <c r="AD20" s="435">
        <f t="shared" si="17"/>
        <v>9.1046325015082257</v>
      </c>
      <c r="AE20" s="441">
        <f t="shared" si="18"/>
        <v>10.92873776937394</v>
      </c>
    </row>
    <row r="21" spans="1:31">
      <c r="A21" s="134">
        <v>1970</v>
      </c>
      <c r="B21" s="479">
        <f t="shared" si="0"/>
        <v>1975</v>
      </c>
      <c r="C21" s="480">
        <f>VLOOKUP($A21,'Brd Tbl'!$A$8:$AX$64,3)</f>
        <v>12.706027868390226</v>
      </c>
      <c r="D21" s="458">
        <f>VLOOKUP($A21,'Brd Tbl'!$A$8:$AX$64,28)</f>
        <v>9.6307284205651111</v>
      </c>
      <c r="E21" s="7">
        <v>47</v>
      </c>
      <c r="F21" s="7">
        <v>45</v>
      </c>
      <c r="G21" s="576">
        <v>5.2082478264184031</v>
      </c>
      <c r="H21" s="576">
        <v>0.36521172597364582</v>
      </c>
      <c r="I21" s="579">
        <v>0.24351855354508165</v>
      </c>
      <c r="J21" s="7">
        <v>9.8486381945024419</v>
      </c>
      <c r="K21" s="7">
        <v>0.71569370329088289</v>
      </c>
      <c r="L21" s="7">
        <v>4.7602634305251273E-2</v>
      </c>
      <c r="M21" s="576">
        <v>0.52981055719571213</v>
      </c>
      <c r="N21" s="440">
        <f t="shared" si="1"/>
        <v>-0.2179097739373308</v>
      </c>
      <c r="O21" s="440">
        <f t="shared" si="2"/>
        <v>4.7484669577418613E-2</v>
      </c>
      <c r="P21" s="465">
        <f t="shared" si="3"/>
        <v>9.8486381945024419</v>
      </c>
      <c r="Q21" s="440">
        <f>$P21-(SQRT($O$64)*$Q$64)</f>
        <v>8.9365855605695845</v>
      </c>
      <c r="R21" s="440">
        <f t="shared" si="5"/>
        <v>10.760690828435299</v>
      </c>
      <c r="S21" s="466">
        <f t="shared" si="6"/>
        <v>-3707.0321289688181</v>
      </c>
      <c r="T21" s="440">
        <f t="shared" si="7"/>
        <v>13742087.205207089</v>
      </c>
      <c r="U21" s="466">
        <f t="shared" si="8"/>
        <v>18932.55478154185</v>
      </c>
      <c r="V21" s="467">
        <f t="shared" si="9"/>
        <v>7605.1852286941294</v>
      </c>
      <c r="W21" s="467">
        <f t="shared" si="10"/>
        <v>47131.21637112715</v>
      </c>
      <c r="X21" s="468">
        <f t="shared" si="11"/>
        <v>0.24347486871607324</v>
      </c>
      <c r="Y21" s="468">
        <f t="shared" si="12"/>
        <v>0.24347486871607324</v>
      </c>
      <c r="Z21" s="517">
        <f t="shared" si="13"/>
        <v>12.706027868390226</v>
      </c>
      <c r="AA21" s="471">
        <f t="shared" si="14"/>
        <v>9.8402834549447036</v>
      </c>
      <c r="AB21" s="473">
        <f t="shared" si="15"/>
        <v>9.6307284205651111</v>
      </c>
      <c r="AC21" s="801">
        <f t="shared" si="16"/>
        <v>75</v>
      </c>
      <c r="AD21" s="435">
        <f t="shared" si="17"/>
        <v>8.9282308210118462</v>
      </c>
      <c r="AE21" s="441">
        <f t="shared" si="18"/>
        <v>10.752336088877561</v>
      </c>
    </row>
    <row r="22" spans="1:31">
      <c r="A22" s="134">
        <v>1971</v>
      </c>
      <c r="B22" s="479">
        <f t="shared" si="0"/>
        <v>1976</v>
      </c>
      <c r="C22" s="480">
        <f>VLOOKUP($A22,'Brd Tbl'!$A$8:$AX$64,3)</f>
        <v>13.280054238347628</v>
      </c>
      <c r="D22" s="458">
        <f>VLOOKUP($A22,'Brd Tbl'!$A$8:$AX$64,28)</f>
        <v>9.1792713306598923</v>
      </c>
      <c r="E22" s="7">
        <v>47</v>
      </c>
      <c r="F22" s="7">
        <v>45</v>
      </c>
      <c r="G22" s="576">
        <v>4.8520657353079715</v>
      </c>
      <c r="H22" s="576">
        <v>0.39348668706823448</v>
      </c>
      <c r="I22" s="579">
        <v>0.2378744794315141</v>
      </c>
      <c r="J22" s="7">
        <v>10.077590281641847</v>
      </c>
      <c r="K22" s="7">
        <v>0.70408826472076169</v>
      </c>
      <c r="L22" s="7">
        <v>5.732124203445628E-2</v>
      </c>
      <c r="M22" s="576">
        <v>0.5136511472357993</v>
      </c>
      <c r="N22" s="440">
        <f t="shared" si="1"/>
        <v>-0.89831895098195425</v>
      </c>
      <c r="O22" s="440">
        <f t="shared" si="2"/>
        <v>0.80697693769331869</v>
      </c>
      <c r="P22" s="465">
        <f t="shared" si="3"/>
        <v>10.077590281641847</v>
      </c>
      <c r="Q22" s="440">
        <f>$P22-(SQRT($O$64)*$Q$64)</f>
        <v>9.1655376477089892</v>
      </c>
      <c r="R22" s="440">
        <f t="shared" si="5"/>
        <v>10.989642915574704</v>
      </c>
      <c r="S22" s="466">
        <f t="shared" si="6"/>
        <v>-14109.470093712989</v>
      </c>
      <c r="T22" s="440">
        <f t="shared" si="7"/>
        <v>199077146.32538122</v>
      </c>
      <c r="U22" s="466">
        <f t="shared" si="8"/>
        <v>23803.556508881964</v>
      </c>
      <c r="V22" s="467">
        <f t="shared" si="9"/>
        <v>9561.8609554073155</v>
      </c>
      <c r="W22" s="467">
        <f t="shared" si="10"/>
        <v>59257.220442126832</v>
      </c>
      <c r="X22" s="468">
        <f t="shared" si="11"/>
        <v>1.4554718711435224</v>
      </c>
      <c r="Y22" s="468">
        <f t="shared" si="12"/>
        <v>1.4554718711435224</v>
      </c>
      <c r="Z22" s="517">
        <f t="shared" si="13"/>
        <v>13.280054238347628</v>
      </c>
      <c r="AA22" s="471">
        <f t="shared" si="14"/>
        <v>10.05550548767204</v>
      </c>
      <c r="AB22" s="473">
        <f t="shared" si="15"/>
        <v>9.1792713306598923</v>
      </c>
      <c r="AC22" s="801">
        <f t="shared" si="16"/>
        <v>76</v>
      </c>
      <c r="AD22" s="435">
        <f t="shared" si="17"/>
        <v>9.1434528537391824</v>
      </c>
      <c r="AE22" s="441">
        <f t="shared" si="18"/>
        <v>10.967558121604897</v>
      </c>
    </row>
    <row r="23" spans="1:31">
      <c r="A23" s="134">
        <v>1972</v>
      </c>
      <c r="B23" s="479">
        <f t="shared" si="0"/>
        <v>1977</v>
      </c>
      <c r="C23" s="480">
        <f>VLOOKUP($A23,'Brd Tbl'!$A$8:$AX$64,3)</f>
        <v>12.919876857039919</v>
      </c>
      <c r="D23" s="458">
        <f>VLOOKUP($A23,'Brd Tbl'!$A$8:$AX$64,28)</f>
        <v>8.8702652307234988</v>
      </c>
      <c r="E23" s="7">
        <v>47</v>
      </c>
      <c r="F23" s="7">
        <v>45</v>
      </c>
      <c r="G23" s="576">
        <v>5.3850472293128755</v>
      </c>
      <c r="H23" s="576">
        <v>0.35307960951307982</v>
      </c>
      <c r="I23" s="579">
        <v>0.23602105575743929</v>
      </c>
      <c r="J23" s="7">
        <v>9.9467923049536076</v>
      </c>
      <c r="K23" s="7">
        <v>0.69864765429909148</v>
      </c>
      <c r="L23" s="7">
        <v>4.7375417302514142E-2</v>
      </c>
      <c r="M23" s="576">
        <v>0.50616319821756262</v>
      </c>
      <c r="N23" s="440">
        <f t="shared" si="1"/>
        <v>-1.0765270742301087</v>
      </c>
      <c r="O23" s="440">
        <f t="shared" si="2"/>
        <v>1.1589105415504382</v>
      </c>
      <c r="P23" s="465">
        <f t="shared" si="3"/>
        <v>9.9467923049536076</v>
      </c>
      <c r="Q23" s="440">
        <f>$P23-(SQRT($O$64)*$Q$64)</f>
        <v>9.0347396710207502</v>
      </c>
      <c r="R23" s="440">
        <f t="shared" si="5"/>
        <v>10.858844938886465</v>
      </c>
      <c r="S23" s="466">
        <f t="shared" si="6"/>
        <v>-13767.953304018236</v>
      </c>
      <c r="T23" s="440">
        <f t="shared" si="7"/>
        <v>189556538.18162665</v>
      </c>
      <c r="U23" s="466">
        <f t="shared" si="8"/>
        <v>20885.121718601091</v>
      </c>
      <c r="V23" s="467">
        <f t="shared" si="9"/>
        <v>8389.5290955998789</v>
      </c>
      <c r="W23" s="467">
        <f t="shared" si="10"/>
        <v>51991.989565845113</v>
      </c>
      <c r="X23" s="468">
        <f t="shared" si="11"/>
        <v>1.9344706352329859</v>
      </c>
      <c r="Y23" s="468">
        <f t="shared" si="12"/>
        <v>1.9344706352329859</v>
      </c>
      <c r="Z23" s="517">
        <f t="shared" si="13"/>
        <v>12.919876857039919</v>
      </c>
      <c r="AA23" s="471">
        <f t="shared" si="14"/>
        <v>9.920462722732152</v>
      </c>
      <c r="AB23" s="473">
        <f t="shared" si="15"/>
        <v>8.8702652307234988</v>
      </c>
      <c r="AC23" s="801">
        <f t="shared" si="16"/>
        <v>77</v>
      </c>
      <c r="AD23" s="435">
        <f t="shared" si="17"/>
        <v>9.0084100887992946</v>
      </c>
      <c r="AE23" s="441">
        <f t="shared" si="18"/>
        <v>10.832515356665009</v>
      </c>
    </row>
    <row r="24" spans="1:31">
      <c r="A24" s="134">
        <v>1973</v>
      </c>
      <c r="B24" s="479">
        <f t="shared" si="0"/>
        <v>1978</v>
      </c>
      <c r="C24" s="480">
        <f>VLOOKUP($A24,'Brd Tbl'!$A$8:$AX$64,3)</f>
        <v>12.976747590549403</v>
      </c>
      <c r="D24" s="458">
        <f>VLOOKUP($A24,'Brd Tbl'!$A$8:$AX$64,28)</f>
        <v>9.8369599134965462</v>
      </c>
      <c r="E24" s="7">
        <v>47</v>
      </c>
      <c r="F24" s="7">
        <v>45</v>
      </c>
      <c r="G24" s="576">
        <v>5.0980280835505818</v>
      </c>
      <c r="H24" s="576">
        <v>0.37345044010636058</v>
      </c>
      <c r="I24" s="579">
        <v>0.24171972864098515</v>
      </c>
      <c r="J24" s="7">
        <v>9.9442001823904107</v>
      </c>
      <c r="K24" s="7">
        <v>0.71622791264353969</v>
      </c>
      <c r="L24" s="7">
        <v>5.0371290467261222E-2</v>
      </c>
      <c r="M24" s="576">
        <v>0.53057617835113724</v>
      </c>
      <c r="N24" s="440">
        <f t="shared" si="1"/>
        <v>-0.10724026889386451</v>
      </c>
      <c r="O24" s="440">
        <f t="shared" si="2"/>
        <v>1.1500475272428364E-2</v>
      </c>
      <c r="P24" s="465">
        <f t="shared" si="3"/>
        <v>9.9442001823904107</v>
      </c>
      <c r="Q24" s="440">
        <f t="shared" ref="Q24:Q60" si="19">$P24-SQRT($O$64)*$Q$64</f>
        <v>9.0321475484575533</v>
      </c>
      <c r="R24" s="440">
        <f t="shared" si="5"/>
        <v>10.856252816323268</v>
      </c>
      <c r="S24" s="466">
        <f t="shared" si="6"/>
        <v>-2118.3139195906951</v>
      </c>
      <c r="T24" s="440">
        <f t="shared" si="7"/>
        <v>4487253.8619316937</v>
      </c>
      <c r="U24" s="466">
        <f t="shared" si="8"/>
        <v>20831.055027377595</v>
      </c>
      <c r="V24" s="467">
        <f t="shared" si="9"/>
        <v>8367.8105686392082</v>
      </c>
      <c r="W24" s="467">
        <f t="shared" si="10"/>
        <v>51857.394475434507</v>
      </c>
      <c r="X24" s="468">
        <f t="shared" si="11"/>
        <v>0.11320169008853571</v>
      </c>
      <c r="Y24" s="468">
        <f t="shared" si="12"/>
        <v>0.11320169008853571</v>
      </c>
      <c r="Z24" s="517">
        <f t="shared" si="13"/>
        <v>12.976747590549403</v>
      </c>
      <c r="AA24" s="471">
        <f t="shared" si="14"/>
        <v>9.9417854972756174</v>
      </c>
      <c r="AB24" s="473">
        <f t="shared" si="15"/>
        <v>9.8369599134965462</v>
      </c>
      <c r="AC24" s="801">
        <f t="shared" si="16"/>
        <v>78</v>
      </c>
      <c r="AD24" s="435">
        <f t="shared" si="17"/>
        <v>9.02973286334276</v>
      </c>
      <c r="AE24" s="441">
        <f t="shared" si="18"/>
        <v>10.853838131208475</v>
      </c>
    </row>
    <row r="25" spans="1:31">
      <c r="A25" s="134">
        <v>1974</v>
      </c>
      <c r="B25" s="479">
        <f t="shared" si="0"/>
        <v>1979</v>
      </c>
      <c r="C25" s="480">
        <f>VLOOKUP($A25,'Brd Tbl'!$A$8:$AX$64,3)</f>
        <v>12.254074322033052</v>
      </c>
      <c r="D25" s="458">
        <f>VLOOKUP($A25,'Brd Tbl'!$A$8:$AX$64,28)</f>
        <v>9.8545823392586307</v>
      </c>
      <c r="E25" s="7">
        <v>47</v>
      </c>
      <c r="F25" s="7">
        <v>45</v>
      </c>
      <c r="G25" s="576">
        <v>4.8148119397540983</v>
      </c>
      <c r="H25" s="576">
        <v>0.39457661506627811</v>
      </c>
      <c r="I25" s="579">
        <v>0.25203166926743648</v>
      </c>
      <c r="J25" s="7">
        <v>9.6499831065124972</v>
      </c>
      <c r="K25" s="7">
        <v>0.71581895761503378</v>
      </c>
      <c r="L25" s="7">
        <v>5.1654315674841196E-2</v>
      </c>
      <c r="M25" s="576">
        <v>0.52993021301565046</v>
      </c>
      <c r="N25" s="440">
        <f t="shared" si="1"/>
        <v>0.20459923274613345</v>
      </c>
      <c r="O25" s="440">
        <f t="shared" si="2"/>
        <v>4.1860846040306487E-2</v>
      </c>
      <c r="P25" s="465">
        <f t="shared" si="3"/>
        <v>9.6499831065124972</v>
      </c>
      <c r="Q25" s="440">
        <f t="shared" si="19"/>
        <v>8.7379304725796398</v>
      </c>
      <c r="R25" s="440">
        <f t="shared" si="5"/>
        <v>10.562035740445355</v>
      </c>
      <c r="S25" s="466">
        <f t="shared" si="6"/>
        <v>3523.9018728135507</v>
      </c>
      <c r="T25" s="440">
        <f t="shared" si="7"/>
        <v>12417884.40921885</v>
      </c>
      <c r="U25" s="466">
        <f t="shared" si="8"/>
        <v>15521.525889278439</v>
      </c>
      <c r="V25" s="467">
        <f t="shared" si="9"/>
        <v>6234.9788912281438</v>
      </c>
      <c r="W25" s="467">
        <f t="shared" si="10"/>
        <v>38639.708350974979</v>
      </c>
      <c r="X25" s="468">
        <f t="shared" si="11"/>
        <v>-0.18502613418993524</v>
      </c>
      <c r="Y25" s="468">
        <f t="shared" si="12"/>
        <v>0.18502613418993524</v>
      </c>
      <c r="Z25" s="517">
        <f t="shared" si="13"/>
        <v>12.254074322033052</v>
      </c>
      <c r="AA25" s="471">
        <f t="shared" si="14"/>
        <v>9.6708306805842881</v>
      </c>
      <c r="AB25" s="473">
        <f t="shared" si="15"/>
        <v>9.8545823392586307</v>
      </c>
      <c r="AC25" s="801">
        <f t="shared" si="16"/>
        <v>79</v>
      </c>
      <c r="AD25" s="435">
        <f t="shared" si="17"/>
        <v>8.7587780466514307</v>
      </c>
      <c r="AE25" s="441">
        <f t="shared" si="18"/>
        <v>10.582883314517145</v>
      </c>
    </row>
    <row r="26" spans="1:31">
      <c r="A26" s="134">
        <v>1975</v>
      </c>
      <c r="B26" s="479">
        <f t="shared" si="0"/>
        <v>1980</v>
      </c>
      <c r="C26" s="480">
        <f>VLOOKUP($A26,'Brd Tbl'!$A$8:$AX$64,3)</f>
        <v>12.058653451875918</v>
      </c>
      <c r="D26" s="458">
        <f>VLOOKUP($A26,'Brd Tbl'!$A$8:$AX$64,28)</f>
        <v>10.311052429506699</v>
      </c>
      <c r="E26" s="7">
        <v>47</v>
      </c>
      <c r="F26" s="7">
        <v>45</v>
      </c>
      <c r="G26" s="576">
        <v>3.7686079194837534</v>
      </c>
      <c r="H26" s="576">
        <v>0.47344921997062872</v>
      </c>
      <c r="I26" s="579">
        <v>0.25498316388490383</v>
      </c>
      <c r="J26" s="7">
        <v>9.4777679901705358</v>
      </c>
      <c r="K26" s="7">
        <v>0.70712106508913664</v>
      </c>
      <c r="L26" s="7">
        <v>7.1162474087574284E-2</v>
      </c>
      <c r="M26" s="576">
        <v>0.51604718938161909</v>
      </c>
      <c r="N26" s="440">
        <f t="shared" si="1"/>
        <v>0.83328443933616292</v>
      </c>
      <c r="O26" s="440">
        <f t="shared" si="2"/>
        <v>0.69436295683978333</v>
      </c>
      <c r="P26" s="465">
        <f t="shared" si="3"/>
        <v>9.4777679901705358</v>
      </c>
      <c r="Q26" s="440">
        <f t="shared" si="19"/>
        <v>8.5657153562376784</v>
      </c>
      <c r="R26" s="440">
        <f t="shared" si="5"/>
        <v>10.389820624103393</v>
      </c>
      <c r="S26" s="466">
        <f t="shared" si="6"/>
        <v>16997.068723479177</v>
      </c>
      <c r="T26" s="440">
        <f t="shared" si="7"/>
        <v>288900345.19067407</v>
      </c>
      <c r="U26" s="466">
        <f t="shared" si="8"/>
        <v>13065.990524146167</v>
      </c>
      <c r="V26" s="467">
        <f t="shared" si="9"/>
        <v>5248.5931919432887</v>
      </c>
      <c r="W26" s="467">
        <f t="shared" si="10"/>
        <v>32526.831883091407</v>
      </c>
      <c r="X26" s="468">
        <f t="shared" si="11"/>
        <v>-0.56538054172985608</v>
      </c>
      <c r="Y26" s="468">
        <f t="shared" si="12"/>
        <v>0.56538054172985608</v>
      </c>
      <c r="Z26" s="517">
        <f t="shared" si="13"/>
        <v>12.058653451875918</v>
      </c>
      <c r="AA26" s="471">
        <f t="shared" si="14"/>
        <v>9.5975607419302786</v>
      </c>
      <c r="AB26" s="473">
        <f t="shared" si="15"/>
        <v>10.311052429506699</v>
      </c>
      <c r="AC26" s="801">
        <f t="shared" si="16"/>
        <v>80</v>
      </c>
      <c r="AD26" s="435">
        <f t="shared" si="17"/>
        <v>8.6855081079974212</v>
      </c>
      <c r="AE26" s="441">
        <f t="shared" si="18"/>
        <v>10.509613375863136</v>
      </c>
    </row>
    <row r="27" spans="1:31">
      <c r="A27" s="134">
        <v>1976</v>
      </c>
      <c r="B27" s="479">
        <f t="shared" si="0"/>
        <v>1981</v>
      </c>
      <c r="C27" s="480">
        <f>VLOOKUP($A27,'Brd Tbl'!$A$8:$AX$64,3)</f>
        <v>12.423183915512015</v>
      </c>
      <c r="D27" s="458">
        <f>VLOOKUP($A27,'Brd Tbl'!$A$8:$AX$64,28)</f>
        <v>9.3922568166298035</v>
      </c>
      <c r="E27" s="7">
        <v>47</v>
      </c>
      <c r="F27" s="7">
        <v>45</v>
      </c>
      <c r="G27" s="576">
        <v>5.4549087878151834</v>
      </c>
      <c r="H27" s="576">
        <v>0.34662033472967158</v>
      </c>
      <c r="I27" s="579">
        <v>0.24755270520227135</v>
      </c>
      <c r="J27" s="7">
        <v>9.7610369550182305</v>
      </c>
      <c r="K27" s="7">
        <v>0.71444361506010579</v>
      </c>
      <c r="L27" s="7">
        <v>4.1748393084009516E-2</v>
      </c>
      <c r="M27" s="576">
        <v>0.52792727802778916</v>
      </c>
      <c r="N27" s="440">
        <f t="shared" si="1"/>
        <v>-0.36878013838842705</v>
      </c>
      <c r="O27" s="440">
        <f t="shared" si="2"/>
        <v>0.13599879046978741</v>
      </c>
      <c r="P27" s="465">
        <f t="shared" si="3"/>
        <v>9.7610369550182305</v>
      </c>
      <c r="Q27" s="440">
        <f t="shared" si="19"/>
        <v>8.8489843210853731</v>
      </c>
      <c r="R27" s="440">
        <f t="shared" si="5"/>
        <v>10.673089588951088</v>
      </c>
      <c r="S27" s="466">
        <f t="shared" si="6"/>
        <v>-5349.4682924845656</v>
      </c>
      <c r="T27" s="440">
        <f t="shared" si="7"/>
        <v>28616811.012297735</v>
      </c>
      <c r="U27" s="466">
        <f t="shared" si="8"/>
        <v>17344.60793136268</v>
      </c>
      <c r="V27" s="467">
        <f t="shared" si="9"/>
        <v>6967.3088264714352</v>
      </c>
      <c r="W27" s="467">
        <f t="shared" si="10"/>
        <v>43178.13832935063</v>
      </c>
      <c r="X27" s="468">
        <f t="shared" si="11"/>
        <v>0.44596965550497691</v>
      </c>
      <c r="Y27" s="468">
        <f t="shared" si="12"/>
        <v>0.44596965550497691</v>
      </c>
      <c r="Z27" s="517">
        <f t="shared" si="13"/>
        <v>12.423183915512015</v>
      </c>
      <c r="AA27" s="471">
        <f t="shared" si="14"/>
        <v>9.7342356256653595</v>
      </c>
      <c r="AB27" s="473">
        <f t="shared" si="15"/>
        <v>9.3922568166298035</v>
      </c>
      <c r="AC27" s="801">
        <f t="shared" si="16"/>
        <v>81</v>
      </c>
      <c r="AD27" s="435">
        <f t="shared" si="17"/>
        <v>8.8221829917325021</v>
      </c>
      <c r="AE27" s="441">
        <f t="shared" si="18"/>
        <v>10.646288259598217</v>
      </c>
    </row>
    <row r="28" spans="1:31">
      <c r="A28" s="134">
        <v>1977</v>
      </c>
      <c r="B28" s="479">
        <f t="shared" si="0"/>
        <v>1982</v>
      </c>
      <c r="C28" s="480">
        <f>VLOOKUP($A28,'Brd Tbl'!$A$8:$AX$64,3)</f>
        <v>12.785761122196162</v>
      </c>
      <c r="D28" s="458">
        <f>VLOOKUP($A28,'Brd Tbl'!$A$8:$AX$64,28)</f>
        <v>10.156317736267425</v>
      </c>
      <c r="E28" s="7">
        <v>47</v>
      </c>
      <c r="F28" s="7">
        <v>45</v>
      </c>
      <c r="G28" s="576">
        <v>4.9325638435824439</v>
      </c>
      <c r="H28" s="576">
        <v>0.38544212332105665</v>
      </c>
      <c r="I28" s="579">
        <v>0.24250829064249246</v>
      </c>
      <c r="J28" s="7">
        <v>9.8607347587975482</v>
      </c>
      <c r="K28" s="7">
        <v>0.71508931168896195</v>
      </c>
      <c r="L28" s="7">
        <v>5.3153542517880348E-2</v>
      </c>
      <c r="M28" s="576">
        <v>0.52896194811076436</v>
      </c>
      <c r="N28" s="440">
        <f t="shared" si="1"/>
        <v>0.29558297746987705</v>
      </c>
      <c r="O28" s="440">
        <f t="shared" si="2"/>
        <v>8.7369296569957844E-2</v>
      </c>
      <c r="P28" s="465">
        <f t="shared" si="3"/>
        <v>9.8607347587975482</v>
      </c>
      <c r="Q28" s="440">
        <f t="shared" si="19"/>
        <v>8.9486821248646908</v>
      </c>
      <c r="R28" s="440">
        <f t="shared" si="5"/>
        <v>10.772787392730406</v>
      </c>
      <c r="S28" s="466">
        <f t="shared" si="6"/>
        <v>6590.3274167661548</v>
      </c>
      <c r="T28" s="440">
        <f t="shared" si="7"/>
        <v>43432415.460179657</v>
      </c>
      <c r="U28" s="466">
        <f t="shared" si="8"/>
        <v>19162.964420647673</v>
      </c>
      <c r="V28" s="467">
        <f t="shared" si="9"/>
        <v>7697.7405126532049</v>
      </c>
      <c r="W28" s="467">
        <f t="shared" si="10"/>
        <v>47704.804388169483</v>
      </c>
      <c r="X28" s="468">
        <f t="shared" si="11"/>
        <v>-0.25590233118050831</v>
      </c>
      <c r="Y28" s="468">
        <f t="shared" si="12"/>
        <v>0.25590233118050831</v>
      </c>
      <c r="Z28" s="517">
        <f t="shared" si="13"/>
        <v>12.785761122196162</v>
      </c>
      <c r="AA28" s="471">
        <f t="shared" si="14"/>
        <v>9.8701781668572437</v>
      </c>
      <c r="AB28" s="473">
        <f t="shared" si="15"/>
        <v>10.156317736267425</v>
      </c>
      <c r="AC28" s="801">
        <f t="shared" si="16"/>
        <v>82</v>
      </c>
      <c r="AD28" s="435">
        <f t="shared" si="17"/>
        <v>8.9581255329243863</v>
      </c>
      <c r="AE28" s="441">
        <f t="shared" si="18"/>
        <v>10.782230800790101</v>
      </c>
    </row>
    <row r="29" spans="1:31">
      <c r="A29" s="134">
        <v>1978</v>
      </c>
      <c r="B29" s="479">
        <f t="shared" si="0"/>
        <v>1983</v>
      </c>
      <c r="C29" s="480">
        <f>VLOOKUP($A29,'Brd Tbl'!$A$8:$AX$64,3)</f>
        <v>12.364757482546439</v>
      </c>
      <c r="D29" s="458">
        <f>VLOOKUP($A29,'Brd Tbl'!$A$8:$AX$64,28)</f>
        <v>10.33729449231382</v>
      </c>
      <c r="E29" s="7">
        <v>47</v>
      </c>
      <c r="F29" s="7">
        <v>45</v>
      </c>
      <c r="G29" s="576">
        <v>4.3182702280029508</v>
      </c>
      <c r="H29" s="576">
        <v>0.43172770469311672</v>
      </c>
      <c r="I29" s="579">
        <v>0.24718478687362921</v>
      </c>
      <c r="J29" s="7">
        <v>9.656478595029764</v>
      </c>
      <c r="K29" s="7">
        <v>0.70977249086100225</v>
      </c>
      <c r="L29" s="7">
        <v>6.3486021457747122E-2</v>
      </c>
      <c r="M29" s="576">
        <v>0.52095894833576994</v>
      </c>
      <c r="N29" s="440">
        <f t="shared" si="1"/>
        <v>0.68081589728405589</v>
      </c>
      <c r="O29" s="440">
        <f t="shared" si="2"/>
        <v>0.46351028599469413</v>
      </c>
      <c r="P29" s="465">
        <f t="shared" si="3"/>
        <v>9.656478595029764</v>
      </c>
      <c r="Q29" s="440">
        <f t="shared" si="19"/>
        <v>8.7444259610969066</v>
      </c>
      <c r="R29" s="440">
        <f t="shared" si="5"/>
        <v>10.568531228962621</v>
      </c>
      <c r="S29" s="466">
        <f t="shared" si="6"/>
        <v>15239.74455196417</v>
      </c>
      <c r="T29" s="440">
        <f t="shared" si="7"/>
        <v>232249814.0091216</v>
      </c>
      <c r="U29" s="466">
        <f t="shared" si="8"/>
        <v>15622.673929799621</v>
      </c>
      <c r="V29" s="467">
        <f t="shared" si="9"/>
        <v>6275.6099414249729</v>
      </c>
      <c r="W29" s="467">
        <f t="shared" si="10"/>
        <v>38891.509031777292</v>
      </c>
      <c r="X29" s="468">
        <f t="shared" si="11"/>
        <v>-0.49379618648386681</v>
      </c>
      <c r="Y29" s="468">
        <f t="shared" si="12"/>
        <v>0.49379618648386681</v>
      </c>
      <c r="Z29" s="517">
        <f t="shared" si="13"/>
        <v>12.364757482546439</v>
      </c>
      <c r="AA29" s="471">
        <f t="shared" si="14"/>
        <v>9.7123295664214417</v>
      </c>
      <c r="AB29" s="473">
        <f t="shared" si="15"/>
        <v>10.33729449231382</v>
      </c>
      <c r="AC29" s="801">
        <f t="shared" si="16"/>
        <v>83</v>
      </c>
      <c r="AD29" s="435">
        <f t="shared" si="17"/>
        <v>8.8002769324885843</v>
      </c>
      <c r="AE29" s="441">
        <f t="shared" si="18"/>
        <v>10.624382200354299</v>
      </c>
    </row>
    <row r="30" spans="1:31">
      <c r="A30" s="134">
        <v>1979</v>
      </c>
      <c r="B30" s="479">
        <f t="shared" si="0"/>
        <v>1984</v>
      </c>
      <c r="C30" s="480">
        <f>VLOOKUP($A30,'Brd Tbl'!$A$8:$AX$64,3)</f>
        <v>13.137652200317289</v>
      </c>
      <c r="D30" s="458">
        <f>VLOOKUP($A30,'Brd Tbl'!$A$8:$AX$64,28)</f>
        <v>9.7108349849448086</v>
      </c>
      <c r="E30" s="7">
        <v>47</v>
      </c>
      <c r="F30" s="7">
        <v>45</v>
      </c>
      <c r="G30" s="576">
        <v>5.0651742853953126</v>
      </c>
      <c r="H30" s="576">
        <v>0.37626132611116941</v>
      </c>
      <c r="I30" s="579">
        <v>0.24113855778299803</v>
      </c>
      <c r="J30" s="7">
        <v>10.008364724274019</v>
      </c>
      <c r="K30" s="7">
        <v>0.71505689514921822</v>
      </c>
      <c r="L30" s="7">
        <v>5.1327447461528897E-2</v>
      </c>
      <c r="M30" s="576">
        <v>0.52893738110618238</v>
      </c>
      <c r="N30" s="440">
        <f t="shared" si="1"/>
        <v>-0.29752973932921023</v>
      </c>
      <c r="O30" s="440">
        <f t="shared" si="2"/>
        <v>8.8523945785307784E-2</v>
      </c>
      <c r="P30" s="465">
        <f t="shared" si="3"/>
        <v>10.008364724274019</v>
      </c>
      <c r="Q30" s="440">
        <f t="shared" si="19"/>
        <v>9.0963120903411614</v>
      </c>
      <c r="R30" s="440">
        <f t="shared" si="5"/>
        <v>10.920417358206876</v>
      </c>
      <c r="S30" s="466">
        <f t="shared" si="6"/>
        <v>-5716.1143283107522</v>
      </c>
      <c r="T30" s="440">
        <f t="shared" si="7"/>
        <v>32673963.014319483</v>
      </c>
      <c r="U30" s="466">
        <f t="shared" si="8"/>
        <v>22211.483841598205</v>
      </c>
      <c r="V30" s="467">
        <f t="shared" si="9"/>
        <v>8922.3272172538855</v>
      </c>
      <c r="W30" s="467">
        <f t="shared" si="10"/>
        <v>55293.871479129812</v>
      </c>
      <c r="X30" s="468">
        <f t="shared" si="11"/>
        <v>0.34652841960928926</v>
      </c>
      <c r="Y30" s="468">
        <f t="shared" si="12"/>
        <v>0.34652841960928926</v>
      </c>
      <c r="Z30" s="517">
        <f t="shared" si="13"/>
        <v>13.137652200317289</v>
      </c>
      <c r="AA30" s="471">
        <f t="shared" si="14"/>
        <v>10.002114114568954</v>
      </c>
      <c r="AB30" s="473">
        <f t="shared" si="15"/>
        <v>9.7108349849448086</v>
      </c>
      <c r="AC30" s="801">
        <f t="shared" si="16"/>
        <v>84</v>
      </c>
      <c r="AD30" s="435">
        <f t="shared" si="17"/>
        <v>9.0900614806360966</v>
      </c>
      <c r="AE30" s="441">
        <f t="shared" si="18"/>
        <v>10.914166748501811</v>
      </c>
    </row>
    <row r="31" spans="1:31">
      <c r="A31" s="134">
        <v>1980</v>
      </c>
      <c r="B31" s="479">
        <f t="shared" si="0"/>
        <v>1985</v>
      </c>
      <c r="C31" s="480">
        <f>VLOOKUP($A31,'Brd Tbl'!$A$8:$AX$64,3)</f>
        <v>13.319976880323642</v>
      </c>
      <c r="D31" s="458">
        <f>VLOOKUP($A31,'Brd Tbl'!$A$8:$AX$64,28)</f>
        <v>10.181945149571556</v>
      </c>
      <c r="E31" s="7">
        <v>47</v>
      </c>
      <c r="F31" s="7">
        <v>45</v>
      </c>
      <c r="G31" s="576">
        <v>5.1117563219823952</v>
      </c>
      <c r="H31" s="576">
        <v>0.37204968038357178</v>
      </c>
      <c r="I31" s="579">
        <v>0.24219518528025544</v>
      </c>
      <c r="J31" s="7">
        <v>10.067449463023372</v>
      </c>
      <c r="K31" s="7">
        <v>0.7162043092822159</v>
      </c>
      <c r="L31" s="7">
        <v>4.9826595853989838E-2</v>
      </c>
      <c r="M31" s="576">
        <v>0.53054194884122852</v>
      </c>
      <c r="N31" s="440">
        <f t="shared" si="1"/>
        <v>0.11449568654818343</v>
      </c>
      <c r="O31" s="440">
        <f t="shared" si="2"/>
        <v>1.3109262238139872E-2</v>
      </c>
      <c r="P31" s="465">
        <f t="shared" si="3"/>
        <v>10.067449463023372</v>
      </c>
      <c r="Q31" s="440">
        <f t="shared" si="19"/>
        <v>9.155396829090515</v>
      </c>
      <c r="R31" s="440">
        <f t="shared" si="5"/>
        <v>10.97950209695623</v>
      </c>
      <c r="S31" s="466">
        <f t="shared" si="6"/>
        <v>2858.4229542555113</v>
      </c>
      <c r="T31" s="440">
        <f t="shared" si="7"/>
        <v>8170581.7854148047</v>
      </c>
      <c r="U31" s="466">
        <f t="shared" si="8"/>
        <v>23563.388766764216</v>
      </c>
      <c r="V31" s="467">
        <f t="shared" si="9"/>
        <v>9465.3858528214023</v>
      </c>
      <c r="W31" s="467">
        <f t="shared" si="10"/>
        <v>58659.340338267197</v>
      </c>
      <c r="X31" s="468">
        <f t="shared" si="11"/>
        <v>-0.10818421478575251</v>
      </c>
      <c r="Y31" s="468">
        <f t="shared" si="12"/>
        <v>0.10818421478575251</v>
      </c>
      <c r="Z31" s="517">
        <f t="shared" si="13"/>
        <v>13.319976880323642</v>
      </c>
      <c r="AA31" s="471">
        <f t="shared" si="14"/>
        <v>10.070473845586609</v>
      </c>
      <c r="AB31" s="473">
        <f t="shared" si="15"/>
        <v>10.181945149571556</v>
      </c>
      <c r="AC31" s="801">
        <f t="shared" si="16"/>
        <v>85</v>
      </c>
      <c r="AD31" s="435">
        <f t="shared" si="17"/>
        <v>9.1584212116537511</v>
      </c>
      <c r="AE31" s="441">
        <f t="shared" si="18"/>
        <v>10.982526479519466</v>
      </c>
    </row>
    <row r="32" spans="1:31">
      <c r="A32" s="134">
        <v>1981</v>
      </c>
      <c r="B32" s="479">
        <f t="shared" si="0"/>
        <v>1986</v>
      </c>
      <c r="C32" s="480">
        <f>VLOOKUP($A32,'Brd Tbl'!$A$8:$AX$64,3)</f>
        <v>13.566207860038292</v>
      </c>
      <c r="D32" s="458">
        <f>VLOOKUP($A32,'Brd Tbl'!$A$8:$AX$64,28)</f>
        <v>9.0619864355716402</v>
      </c>
      <c r="E32" s="7">
        <v>47</v>
      </c>
      <c r="F32" s="7">
        <v>45</v>
      </c>
      <c r="G32" s="576">
        <v>4.2967250570346875</v>
      </c>
      <c r="H32" s="576">
        <v>0.43629016016738886</v>
      </c>
      <c r="I32" s="579">
        <v>0.23787757824816114</v>
      </c>
      <c r="J32" s="7">
        <v>10.215528057154884</v>
      </c>
      <c r="K32" s="7">
        <v>0.69642935272477657</v>
      </c>
      <c r="L32" s="7">
        <v>6.9554054847328253E-2</v>
      </c>
      <c r="M32" s="576">
        <v>0.50250899117129744</v>
      </c>
      <c r="N32" s="440">
        <f t="shared" si="1"/>
        <v>-1.1535416215832441</v>
      </c>
      <c r="O32" s="440">
        <f t="shared" si="2"/>
        <v>1.3306582727249003</v>
      </c>
      <c r="P32" s="465">
        <f t="shared" si="3"/>
        <v>10.215528057154884</v>
      </c>
      <c r="Q32" s="440">
        <f t="shared" si="19"/>
        <v>9.3034754232220269</v>
      </c>
      <c r="R32" s="440">
        <f t="shared" si="5"/>
        <v>11.127580691087742</v>
      </c>
      <c r="S32" s="466">
        <f t="shared" si="6"/>
        <v>-18702.941362638634</v>
      </c>
      <c r="T32" s="440">
        <f t="shared" si="7"/>
        <v>349800015.61429906</v>
      </c>
      <c r="U32" s="466">
        <f t="shared" si="8"/>
        <v>27324.200594503429</v>
      </c>
      <c r="V32" s="467">
        <f t="shared" si="9"/>
        <v>10976.099588513607</v>
      </c>
      <c r="W32" s="467">
        <f t="shared" si="10"/>
        <v>68021.607503450898</v>
      </c>
      <c r="X32" s="468">
        <f t="shared" si="11"/>
        <v>2.1693978640047402</v>
      </c>
      <c r="Y32" s="468">
        <f t="shared" si="12"/>
        <v>2.1693978640047402</v>
      </c>
      <c r="Z32" s="517">
        <f t="shared" si="13"/>
        <v>13.566207860038292</v>
      </c>
      <c r="AA32" s="471">
        <f t="shared" si="14"/>
        <v>10.162794224489346</v>
      </c>
      <c r="AB32" s="473">
        <f t="shared" si="15"/>
        <v>9.0619864355716402</v>
      </c>
      <c r="AC32" s="801">
        <f t="shared" si="16"/>
        <v>86</v>
      </c>
      <c r="AD32" s="435">
        <f t="shared" si="17"/>
        <v>9.2507415905564887</v>
      </c>
      <c r="AE32" s="441">
        <f t="shared" si="18"/>
        <v>11.074846858422204</v>
      </c>
    </row>
    <row r="33" spans="1:35">
      <c r="A33" s="134">
        <v>1982</v>
      </c>
      <c r="B33" s="479">
        <f t="shared" si="0"/>
        <v>1987</v>
      </c>
      <c r="C33" s="480">
        <f>VLOOKUP($A33,'Brd Tbl'!$A$8:$AX$64,3)</f>
        <v>13.319999038686715</v>
      </c>
      <c r="D33" s="458">
        <f>VLOOKUP($A33,'Brd Tbl'!$A$8:$AX$64,28)</f>
        <v>9.315093953184272</v>
      </c>
      <c r="E33" s="7">
        <v>47</v>
      </c>
      <c r="F33" s="7">
        <v>45</v>
      </c>
      <c r="G33" s="576">
        <v>4.8364773610871215</v>
      </c>
      <c r="H33" s="576">
        <v>0.39448204720494207</v>
      </c>
      <c r="I33" s="579">
        <v>0.23916857304221853</v>
      </c>
      <c r="J33" s="7">
        <v>10.090977850636119</v>
      </c>
      <c r="K33" s="7">
        <v>0.70725379714734038</v>
      </c>
      <c r="L33" s="7">
        <v>5.7008736693461501E-2</v>
      </c>
      <c r="M33" s="576">
        <v>0.51801244756278331</v>
      </c>
      <c r="N33" s="440">
        <f t="shared" si="1"/>
        <v>-0.77588389745184649</v>
      </c>
      <c r="O33" s="440">
        <f t="shared" si="2"/>
        <v>0.60199582232506743</v>
      </c>
      <c r="P33" s="465">
        <f t="shared" si="3"/>
        <v>10.090977850636119</v>
      </c>
      <c r="Q33" s="440">
        <f t="shared" si="19"/>
        <v>9.1789252167032611</v>
      </c>
      <c r="R33" s="440">
        <f t="shared" si="5"/>
        <v>11.003030484568976</v>
      </c>
      <c r="S33" s="466">
        <f t="shared" si="6"/>
        <v>-13020.001493963864</v>
      </c>
      <c r="T33" s="440">
        <f t="shared" si="7"/>
        <v>169520438.90282124</v>
      </c>
      <c r="U33" s="466">
        <f t="shared" si="8"/>
        <v>24124.370935049632</v>
      </c>
      <c r="V33" s="467">
        <f t="shared" si="9"/>
        <v>9690.7317371478257</v>
      </c>
      <c r="W33" s="467">
        <f t="shared" si="10"/>
        <v>60055.864592858612</v>
      </c>
      <c r="X33" s="468">
        <f t="shared" si="11"/>
        <v>1.1725115561978987</v>
      </c>
      <c r="Y33" s="468">
        <f t="shared" si="12"/>
        <v>1.1725115561978987</v>
      </c>
      <c r="Z33" s="517">
        <f t="shared" si="13"/>
        <v>13.319999038686715</v>
      </c>
      <c r="AA33" s="471">
        <f t="shared" si="14"/>
        <v>10.070482153511456</v>
      </c>
      <c r="AB33" s="473">
        <f t="shared" si="15"/>
        <v>9.315093953184272</v>
      </c>
      <c r="AC33" s="801">
        <f t="shared" si="16"/>
        <v>87</v>
      </c>
      <c r="AD33" s="435">
        <f t="shared" si="17"/>
        <v>9.1584295195785987</v>
      </c>
      <c r="AE33" s="441">
        <f t="shared" si="18"/>
        <v>10.982534787444314</v>
      </c>
    </row>
    <row r="34" spans="1:35">
      <c r="A34" s="134">
        <v>1983</v>
      </c>
      <c r="B34" s="479">
        <f t="shared" si="0"/>
        <v>1988</v>
      </c>
      <c r="C34" s="460">
        <f>VLOOKUP($A34,'Brd Tbl'!$A$8:$AX$64,3)</f>
        <v>13.444308994764105</v>
      </c>
      <c r="D34" s="458">
        <f>VLOOKUP($A34,'Brd Tbl'!$A$8:$AX$64,28)</f>
        <v>9.8560775278142092</v>
      </c>
      <c r="E34" s="7">
        <v>47</v>
      </c>
      <c r="F34" s="7">
        <v>45</v>
      </c>
      <c r="G34" s="576">
        <v>4.9427371051244142</v>
      </c>
      <c r="H34" s="576">
        <v>0.38556552897656005</v>
      </c>
      <c r="I34" s="579">
        <v>0.24289454728008233</v>
      </c>
      <c r="J34" s="7">
        <v>10.12639921441496</v>
      </c>
      <c r="K34" s="7">
        <v>0.71530713169203597</v>
      </c>
      <c r="L34" s="7">
        <v>5.3025715777961994E-2</v>
      </c>
      <c r="M34" s="576">
        <v>0.52926610730913215</v>
      </c>
      <c r="N34" s="440">
        <f t="shared" si="1"/>
        <v>-0.27032168660075051</v>
      </c>
      <c r="O34" s="440">
        <f t="shared" si="2"/>
        <v>7.3073814246674376E-2</v>
      </c>
      <c r="P34" s="465">
        <f t="shared" si="3"/>
        <v>10.12639921441496</v>
      </c>
      <c r="Q34" s="440">
        <f t="shared" si="19"/>
        <v>9.2143465804821023</v>
      </c>
      <c r="R34" s="440">
        <f t="shared" si="5"/>
        <v>11.038451848347817</v>
      </c>
      <c r="S34" s="466">
        <f t="shared" si="6"/>
        <v>-5920.2778690175874</v>
      </c>
      <c r="T34" s="440">
        <f t="shared" si="7"/>
        <v>35049690.046379425</v>
      </c>
      <c r="U34" s="466">
        <f t="shared" si="8"/>
        <v>24994.203436222473</v>
      </c>
      <c r="V34" s="467">
        <f t="shared" si="9"/>
        <v>10040.142440863696</v>
      </c>
      <c r="W34" s="467">
        <f t="shared" si="10"/>
        <v>62221.249259242089</v>
      </c>
      <c r="X34" s="468">
        <f t="shared" si="11"/>
        <v>0.31038591653082304</v>
      </c>
      <c r="Y34" s="468">
        <f t="shared" si="12"/>
        <v>0.31038591653082304</v>
      </c>
      <c r="Z34" s="517">
        <f t="shared" si="13"/>
        <v>13.444308994764105</v>
      </c>
      <c r="AA34" s="471">
        <f t="shared" si="14"/>
        <v>10.117090189022452</v>
      </c>
      <c r="AB34" s="473">
        <f t="shared" si="15"/>
        <v>9.8560775278142092</v>
      </c>
      <c r="AC34" s="801">
        <f t="shared" si="16"/>
        <v>88</v>
      </c>
      <c r="AD34" s="435">
        <f t="shared" si="17"/>
        <v>9.2050375550895946</v>
      </c>
      <c r="AE34" s="441">
        <f t="shared" si="18"/>
        <v>11.029142822955309</v>
      </c>
    </row>
    <row r="35" spans="1:35">
      <c r="A35" s="134">
        <v>1984</v>
      </c>
      <c r="B35" s="479">
        <f t="shared" si="0"/>
        <v>1989</v>
      </c>
      <c r="C35" s="480">
        <f>VLOOKUP($A35,'Brd Tbl'!$A$8:$AX$64,3)</f>
        <v>13.638142794234168</v>
      </c>
      <c r="D35" s="458">
        <f>VLOOKUP($A35,'Brd Tbl'!$A$8:$AX$64,28)</f>
        <v>9.8974061373719184</v>
      </c>
      <c r="E35" s="7">
        <v>47</v>
      </c>
      <c r="F35" s="7">
        <v>45</v>
      </c>
      <c r="G35" s="576">
        <v>4.8343886783564729</v>
      </c>
      <c r="H35" s="576">
        <v>0.39389897082362074</v>
      </c>
      <c r="I35" s="579">
        <v>0.24528194500616335</v>
      </c>
      <c r="J35" s="7">
        <v>10.206439088950891</v>
      </c>
      <c r="K35" s="7">
        <v>0.71499964265430915</v>
      </c>
      <c r="L35" s="7">
        <v>5.4203073604530229E-2</v>
      </c>
      <c r="M35" s="576">
        <v>0.52878892537477173</v>
      </c>
      <c r="N35" s="440">
        <f t="shared" si="1"/>
        <v>-0.30903295157897226</v>
      </c>
      <c r="O35" s="440">
        <f t="shared" si="2"/>
        <v>9.550136516161141E-2</v>
      </c>
      <c r="P35" s="465">
        <f t="shared" si="3"/>
        <v>10.206439088950891</v>
      </c>
      <c r="Q35" s="440">
        <f t="shared" si="19"/>
        <v>9.2943864550180333</v>
      </c>
      <c r="R35" s="440">
        <f t="shared" si="5"/>
        <v>11.118491722883748</v>
      </c>
      <c r="S35" s="466">
        <f t="shared" si="6"/>
        <v>-7198.2362254145919</v>
      </c>
      <c r="T35" s="440">
        <f t="shared" si="7"/>
        <v>51814604.756870911</v>
      </c>
      <c r="U35" s="466">
        <f t="shared" si="8"/>
        <v>27076.977009663868</v>
      </c>
      <c r="V35" s="467">
        <f t="shared" si="9"/>
        <v>10876.790162115449</v>
      </c>
      <c r="W35" s="467">
        <f t="shared" si="10"/>
        <v>67406.162392974889</v>
      </c>
      <c r="X35" s="468">
        <f t="shared" si="11"/>
        <v>0.362107253348665</v>
      </c>
      <c r="Y35" s="468">
        <f t="shared" si="12"/>
        <v>0.362107253348665</v>
      </c>
      <c r="Z35" s="517">
        <f t="shared" si="13"/>
        <v>13.638142794234168</v>
      </c>
      <c r="AA35" s="471">
        <f t="shared" si="14"/>
        <v>10.189765080833268</v>
      </c>
      <c r="AB35" s="473">
        <f t="shared" si="15"/>
        <v>9.8974061373719184</v>
      </c>
      <c r="AC35" s="801">
        <f t="shared" si="16"/>
        <v>89</v>
      </c>
      <c r="AD35" s="435">
        <f t="shared" si="17"/>
        <v>9.2777124469004111</v>
      </c>
      <c r="AE35" s="441">
        <f t="shared" si="18"/>
        <v>11.101817714766126</v>
      </c>
    </row>
    <row r="36" spans="1:35">
      <c r="A36" s="134">
        <v>1985</v>
      </c>
      <c r="B36" s="479">
        <f t="shared" si="0"/>
        <v>1990</v>
      </c>
      <c r="C36" s="480">
        <f>VLOOKUP($A36,'Brd Tbl'!$A$8:$AX$64,3)</f>
        <v>13.375564583374878</v>
      </c>
      <c r="D36" s="458">
        <f>VLOOKUP($A36,'Brd Tbl'!$A$8:$AX$64,28)</f>
        <v>11.093224203115401</v>
      </c>
      <c r="E36" s="7">
        <v>47</v>
      </c>
      <c r="F36" s="7">
        <v>45</v>
      </c>
      <c r="G36" s="576">
        <v>5.4810034970508097</v>
      </c>
      <c r="H36" s="576">
        <v>0.3423994679319069</v>
      </c>
      <c r="I36" s="579">
        <v>0.23715896062877742</v>
      </c>
      <c r="J36" s="7">
        <v>10.060789693687227</v>
      </c>
      <c r="K36" s="7">
        <v>0.70017530348039592</v>
      </c>
      <c r="L36" s="7">
        <v>4.4270026148361917E-2</v>
      </c>
      <c r="M36" s="576">
        <v>0.50814169875569548</v>
      </c>
      <c r="N36" s="440">
        <f t="shared" si="1"/>
        <v>1.0324345094281746</v>
      </c>
      <c r="O36" s="440">
        <f t="shared" si="2"/>
        <v>1.0659210162581956</v>
      </c>
      <c r="P36" s="465">
        <f t="shared" si="3"/>
        <v>10.060789693687227</v>
      </c>
      <c r="Q36" s="440">
        <f t="shared" si="19"/>
        <v>9.1487370597543691</v>
      </c>
      <c r="R36" s="440">
        <f t="shared" si="5"/>
        <v>10.972842327620084</v>
      </c>
      <c r="S36" s="466">
        <f t="shared" si="6"/>
        <v>42317.329985874392</v>
      </c>
      <c r="T36" s="440">
        <f t="shared" si="7"/>
        <v>1790756417.133384</v>
      </c>
      <c r="U36" s="466">
        <f t="shared" si="8"/>
        <v>23406.983422637648</v>
      </c>
      <c r="V36" s="467">
        <f t="shared" si="9"/>
        <v>9402.5580080553118</v>
      </c>
      <c r="W36" s="467">
        <f t="shared" si="10"/>
        <v>58269.980624235533</v>
      </c>
      <c r="X36" s="468">
        <f t="shared" si="11"/>
        <v>-0.64386111913941757</v>
      </c>
      <c r="Y36" s="468">
        <f t="shared" si="12"/>
        <v>0.64386111913941757</v>
      </c>
      <c r="Z36" s="517">
        <f t="shared" si="13"/>
        <v>13.375564583374878</v>
      </c>
      <c r="AA36" s="471">
        <f t="shared" si="14"/>
        <v>10.091315568321782</v>
      </c>
      <c r="AB36" s="473">
        <f t="shared" si="15"/>
        <v>11.093224203115401</v>
      </c>
      <c r="AC36" s="801">
        <f t="shared" si="16"/>
        <v>90</v>
      </c>
      <c r="AD36" s="435">
        <f t="shared" si="17"/>
        <v>9.1792629343889249</v>
      </c>
      <c r="AE36" s="441">
        <f t="shared" si="18"/>
        <v>11.00336820225464</v>
      </c>
    </row>
    <row r="37" spans="1:35">
      <c r="A37" s="134">
        <v>1986</v>
      </c>
      <c r="B37" s="479">
        <f t="shared" si="0"/>
        <v>1991</v>
      </c>
      <c r="C37" s="480">
        <f>VLOOKUP($A37,'Brd Tbl'!$A$8:$AX$64,3)</f>
        <v>13.146433368058696</v>
      </c>
      <c r="D37" s="458">
        <f>VLOOKUP($A37,'Brd Tbl'!$A$8:$AX$64,28)</f>
        <v>8.7360473966242616</v>
      </c>
      <c r="E37" s="7">
        <v>47</v>
      </c>
      <c r="F37" s="7">
        <v>45</v>
      </c>
      <c r="G37" s="576">
        <v>5.0106479142475173</v>
      </c>
      <c r="H37" s="576">
        <v>0.38201337206899205</v>
      </c>
      <c r="I37" s="579">
        <v>0.23283446034705513</v>
      </c>
      <c r="J37" s="7">
        <v>10.032761255859937</v>
      </c>
      <c r="K37" s="7">
        <v>0.69040173562396767</v>
      </c>
      <c r="L37" s="7">
        <v>5.6443999812321698E-2</v>
      </c>
      <c r="M37" s="576">
        <v>0.49504497925621271</v>
      </c>
      <c r="N37" s="440">
        <f t="shared" si="1"/>
        <v>-1.2967138592356751</v>
      </c>
      <c r="O37" s="440">
        <f t="shared" si="2"/>
        <v>1.6814668327338782</v>
      </c>
      <c r="P37" s="465">
        <f t="shared" si="3"/>
        <v>10.032761255859937</v>
      </c>
      <c r="Q37" s="440">
        <f t="shared" si="19"/>
        <v>9.1207086219270792</v>
      </c>
      <c r="R37" s="440">
        <f t="shared" si="5"/>
        <v>10.944813889792794</v>
      </c>
      <c r="S37" s="466">
        <f>EXP(D37)*C37-U37</f>
        <v>59053.49718429301</v>
      </c>
      <c r="T37" s="440">
        <f t="shared" si="7"/>
        <v>3487315529.6953025</v>
      </c>
      <c r="U37" s="466">
        <f t="shared" si="8"/>
        <v>22760.03112704496</v>
      </c>
      <c r="V37" s="467">
        <f t="shared" si="9"/>
        <v>9142.6780236113646</v>
      </c>
      <c r="W37" s="467">
        <f t="shared" si="10"/>
        <v>56659.439998460926</v>
      </c>
      <c r="X37" s="468">
        <f t="shared" si="11"/>
        <v>2.6572586324353957</v>
      </c>
      <c r="Y37" s="468">
        <f t="shared" si="12"/>
        <v>2.6572586324353957</v>
      </c>
      <c r="Z37" s="441">
        <f t="shared" si="13"/>
        <v>13.146433368058696</v>
      </c>
      <c r="AA37" s="471">
        <f t="shared" si="14"/>
        <v>10.005406473369764</v>
      </c>
      <c r="AB37" s="473">
        <f t="shared" si="15"/>
        <v>8.7360473966242616</v>
      </c>
      <c r="AC37" s="801">
        <f t="shared" si="16"/>
        <v>91</v>
      </c>
      <c r="AD37" s="435">
        <f t="shared" si="17"/>
        <v>9.0933538394369062</v>
      </c>
      <c r="AE37" s="441">
        <f t="shared" si="18"/>
        <v>10.917459107302621</v>
      </c>
    </row>
    <row r="38" spans="1:35">
      <c r="A38" s="134">
        <v>1987</v>
      </c>
      <c r="B38" s="479">
        <f t="shared" si="0"/>
        <v>1992</v>
      </c>
      <c r="C38" s="480">
        <f>VLOOKUP($A38,'Brd Tbl'!$A$8:$AX$64,3)</f>
        <v>13.134289959913048</v>
      </c>
      <c r="D38" s="458">
        <f>VLOOKUP($A38,'Brd Tbl'!$A$8:$AX$64,28)</f>
        <v>10.111457545898483</v>
      </c>
      <c r="E38" s="7">
        <v>47</v>
      </c>
      <c r="F38" s="7">
        <v>45</v>
      </c>
      <c r="G38" s="576">
        <v>5.0800428798247488</v>
      </c>
      <c r="H38" s="576">
        <v>0.37447326601509484</v>
      </c>
      <c r="I38" s="579">
        <v>0.24152335828555002</v>
      </c>
      <c r="J38" s="7">
        <v>9.9984833379026572</v>
      </c>
      <c r="K38" s="7">
        <v>0.71620846045310904</v>
      </c>
      <c r="L38" s="7">
        <v>5.0711789154423675E-2</v>
      </c>
      <c r="M38" s="576">
        <v>0.53054931247028925</v>
      </c>
      <c r="N38" s="440">
        <f t="shared" si="1"/>
        <v>0.11297420799582625</v>
      </c>
      <c r="O38" s="440">
        <f t="shared" si="2"/>
        <v>1.2763171672284211E-2</v>
      </c>
      <c r="P38" s="465">
        <f t="shared" si="3"/>
        <v>9.9984833379026572</v>
      </c>
      <c r="Q38" s="440">
        <f t="shared" si="19"/>
        <v>9.0864307039697998</v>
      </c>
      <c r="R38" s="440">
        <f t="shared" si="5"/>
        <v>10.910535971835515</v>
      </c>
      <c r="S38" s="466">
        <f t="shared" ref="S38:S59" si="20">EXP(D38)-U38</f>
        <v>2630.4401011771843</v>
      </c>
      <c r="T38" s="440">
        <f t="shared" si="7"/>
        <v>6919215.1258810358</v>
      </c>
      <c r="U38" s="466">
        <f t="shared" si="8"/>
        <v>21993.084409537045</v>
      </c>
      <c r="V38" s="467">
        <f t="shared" si="9"/>
        <v>8834.596419491394</v>
      </c>
      <c r="W38" s="467">
        <f t="shared" si="10"/>
        <v>54750.181997885506</v>
      </c>
      <c r="X38" s="468">
        <f t="shared" si="11"/>
        <v>-0.10682630344135434</v>
      </c>
      <c r="Y38" s="468">
        <f t="shared" si="12"/>
        <v>0.10682630344135434</v>
      </c>
      <c r="Z38" s="441">
        <f t="shared" si="13"/>
        <v>13.134289959913048</v>
      </c>
      <c r="AA38" s="471">
        <f t="shared" si="14"/>
        <v>10.000853496151072</v>
      </c>
      <c r="AB38" s="473">
        <f t="shared" si="15"/>
        <v>10.111457545898483</v>
      </c>
      <c r="AC38" s="801">
        <f t="shared" si="16"/>
        <v>92</v>
      </c>
      <c r="AD38" s="435">
        <f t="shared" si="17"/>
        <v>9.0888008622182141</v>
      </c>
      <c r="AE38" s="441">
        <f t="shared" si="18"/>
        <v>10.912906130083929</v>
      </c>
    </row>
    <row r="39" spans="1:35">
      <c r="A39" s="134">
        <v>1988</v>
      </c>
      <c r="B39" s="479">
        <f t="shared" si="0"/>
        <v>1993</v>
      </c>
      <c r="C39" s="480">
        <f>VLOOKUP($A39,'Brd Tbl'!$A$8:$AX$64,3)</f>
        <v>13.113887510425618</v>
      </c>
      <c r="D39" s="458">
        <f>VLOOKUP($A39,'Brd Tbl'!$A$8:$AX$64,28)</f>
        <v>9.9129617126545728</v>
      </c>
      <c r="E39" s="7">
        <v>47</v>
      </c>
      <c r="F39" s="7">
        <v>45</v>
      </c>
      <c r="G39" s="576">
        <v>5.0761802573539221</v>
      </c>
      <c r="H39" s="576">
        <v>0.37507819248989055</v>
      </c>
      <c r="I39" s="579">
        <v>0.24153963307825635</v>
      </c>
      <c r="J39" s="7">
        <v>9.9949134812801148</v>
      </c>
      <c r="K39" s="7">
        <v>0.71630028713855021</v>
      </c>
      <c r="L39" s="7">
        <v>5.0860914942965206E-2</v>
      </c>
      <c r="M39" s="576">
        <v>0.53067797373180892</v>
      </c>
      <c r="N39" s="440">
        <f t="shared" si="1"/>
        <v>-8.1951768625541987E-2</v>
      </c>
      <c r="O39" s="440">
        <f t="shared" si="2"/>
        <v>6.7160923808543679E-3</v>
      </c>
      <c r="P39" s="465">
        <f t="shared" si="3"/>
        <v>9.9949134812801148</v>
      </c>
      <c r="Q39" s="440">
        <f t="shared" si="19"/>
        <v>9.0828608473472574</v>
      </c>
      <c r="R39" s="440">
        <f t="shared" si="5"/>
        <v>10.906966115212972</v>
      </c>
      <c r="S39" s="466">
        <f t="shared" si="20"/>
        <v>-1724.3285826169995</v>
      </c>
      <c r="T39" s="440">
        <f t="shared" si="7"/>
        <v>2973309.0608299505</v>
      </c>
      <c r="U39" s="466">
        <f t="shared" si="8"/>
        <v>21914.712223471688</v>
      </c>
      <c r="V39" s="467">
        <f t="shared" si="9"/>
        <v>8803.1144035309371</v>
      </c>
      <c r="W39" s="467">
        <f t="shared" si="10"/>
        <v>54555.080148106317</v>
      </c>
      <c r="X39" s="468">
        <f t="shared" si="11"/>
        <v>8.5403458066436524E-2</v>
      </c>
      <c r="Y39" s="468">
        <f t="shared" si="12"/>
        <v>8.5403458066436524E-2</v>
      </c>
      <c r="Z39" s="473">
        <f t="shared" si="13"/>
        <v>13.113887510425618</v>
      </c>
      <c r="AA39" s="471">
        <f t="shared" si="14"/>
        <v>9.993203923098136</v>
      </c>
      <c r="AB39" s="473">
        <f t="shared" si="15"/>
        <v>9.9129617126545728</v>
      </c>
      <c r="AC39" s="801">
        <f t="shared" si="16"/>
        <v>93</v>
      </c>
      <c r="AD39" s="435">
        <f t="shared" si="17"/>
        <v>9.0811512891652786</v>
      </c>
      <c r="AE39" s="441">
        <f t="shared" si="18"/>
        <v>10.905256557030993</v>
      </c>
    </row>
    <row r="40" spans="1:35">
      <c r="A40" s="134">
        <v>1989</v>
      </c>
      <c r="B40" s="479">
        <f t="shared" si="0"/>
        <v>1994</v>
      </c>
      <c r="C40" s="480">
        <f>VLOOKUP($A40,'Brd Tbl'!$A$8:$AX$64,3)</f>
        <v>13.272621998860386</v>
      </c>
      <c r="D40" s="458">
        <f>VLOOKUP($A40,'Brd Tbl'!$A$8:$AX$64,28)</f>
        <v>9.6129829013257417</v>
      </c>
      <c r="E40" s="7">
        <v>47</v>
      </c>
      <c r="F40" s="7">
        <v>45</v>
      </c>
      <c r="G40" s="576">
        <v>4.9688222616317734</v>
      </c>
      <c r="H40" s="576">
        <v>0.38386091967881675</v>
      </c>
      <c r="I40" s="579">
        <v>0.24095692332055332</v>
      </c>
      <c r="J40" s="7">
        <v>10.063663148663615</v>
      </c>
      <c r="K40" s="7">
        <v>0.71332196608992726</v>
      </c>
      <c r="L40" s="7">
        <v>5.3386233635011188E-2</v>
      </c>
      <c r="M40" s="576">
        <v>0.52649932281777356</v>
      </c>
      <c r="N40" s="440">
        <f t="shared" si="1"/>
        <v>-0.45068024733787304</v>
      </c>
      <c r="O40" s="440">
        <f t="shared" si="2"/>
        <v>0.20311268534052643</v>
      </c>
      <c r="P40" s="465">
        <f t="shared" si="3"/>
        <v>10.063663148663615</v>
      </c>
      <c r="Q40" s="440">
        <f t="shared" si="19"/>
        <v>9.1516105147307574</v>
      </c>
      <c r="R40" s="440">
        <f t="shared" si="5"/>
        <v>10.975715782596472</v>
      </c>
      <c r="S40" s="466">
        <f t="shared" si="20"/>
        <v>-8516.6180464143545</v>
      </c>
      <c r="T40" s="440">
        <f t="shared" si="7"/>
        <v>72532782.948510662</v>
      </c>
      <c r="U40" s="466">
        <f t="shared" si="8"/>
        <v>23474.339060987921</v>
      </c>
      <c r="V40" s="467">
        <f t="shared" si="9"/>
        <v>9429.6146896158043</v>
      </c>
      <c r="W40" s="467">
        <f t="shared" si="10"/>
        <v>58437.657580754742</v>
      </c>
      <c r="X40" s="468">
        <f t="shared" si="11"/>
        <v>0.56937938861919313</v>
      </c>
      <c r="Y40" s="468">
        <f t="shared" si="12"/>
        <v>0.56937938861919313</v>
      </c>
      <c r="Z40" s="471">
        <f t="shared" si="13"/>
        <v>13.272621998860386</v>
      </c>
      <c r="AA40" s="471">
        <f t="shared" si="14"/>
        <v>10.052718888007149</v>
      </c>
      <c r="AB40" s="473">
        <f t="shared" si="15"/>
        <v>9.6129829013257417</v>
      </c>
      <c r="AC40" s="801">
        <f t="shared" si="16"/>
        <v>94</v>
      </c>
      <c r="AD40" s="435">
        <f t="shared" si="17"/>
        <v>9.1406662540742918</v>
      </c>
      <c r="AE40" s="441">
        <f t="shared" si="18"/>
        <v>10.964771521940007</v>
      </c>
      <c r="AH40" s="54" t="s">
        <v>180</v>
      </c>
      <c r="AI40" s="440">
        <f>ROUND(L62,5)</f>
        <v>5.0810000000000001E-2</v>
      </c>
    </row>
    <row r="41" spans="1:35">
      <c r="A41" s="134">
        <v>1990</v>
      </c>
      <c r="B41" s="479">
        <f t="shared" si="0"/>
        <v>1995</v>
      </c>
      <c r="C41" s="480">
        <f>VLOOKUP($A41,'Brd Tbl'!$A$8:$AX$64,3)</f>
        <v>13.336939161741851</v>
      </c>
      <c r="D41" s="458">
        <f>VLOOKUP($A41,'Brd Tbl'!$A$8:$AX$64,28)</f>
        <v>10.574583142822014</v>
      </c>
      <c r="E41" s="7">
        <v>47</v>
      </c>
      <c r="F41" s="7">
        <v>45</v>
      </c>
      <c r="G41" s="576">
        <v>5.247482454205457</v>
      </c>
      <c r="H41" s="576">
        <v>0.36105586089174579</v>
      </c>
      <c r="I41" s="579">
        <v>0.24103239875669499</v>
      </c>
      <c r="J41" s="7">
        <v>10.062862504908999</v>
      </c>
      <c r="K41" s="7">
        <v>0.71244090327226572</v>
      </c>
      <c r="L41" s="7">
        <v>4.7495501131278893E-2</v>
      </c>
      <c r="M41" s="576">
        <v>0.52524942226616544</v>
      </c>
      <c r="N41" s="440">
        <f t="shared" si="1"/>
        <v>0.51172063791301525</v>
      </c>
      <c r="O41" s="440">
        <f t="shared" si="2"/>
        <v>0.26185801126610325</v>
      </c>
      <c r="P41" s="465">
        <f t="shared" si="3"/>
        <v>10.062862504908999</v>
      </c>
      <c r="Q41" s="440">
        <f t="shared" si="19"/>
        <v>9.1508098709761416</v>
      </c>
      <c r="R41" s="440">
        <f t="shared" si="5"/>
        <v>10.974915138841856</v>
      </c>
      <c r="S41" s="466">
        <f t="shared" si="20"/>
        <v>15672.038746947299</v>
      </c>
      <c r="T41" s="440">
        <f t="shared" si="7"/>
        <v>245612798.48581746</v>
      </c>
      <c r="U41" s="466">
        <f t="shared" si="8"/>
        <v>23455.551999900163</v>
      </c>
      <c r="V41" s="467">
        <f t="shared" si="9"/>
        <v>9422.0679490346283</v>
      </c>
      <c r="W41" s="467">
        <f t="shared" si="10"/>
        <v>58390.888560338753</v>
      </c>
      <c r="X41" s="468">
        <f t="shared" si="11"/>
        <v>-0.40053676824479684</v>
      </c>
      <c r="Y41" s="468">
        <f t="shared" si="12"/>
        <v>0.40053676824479684</v>
      </c>
      <c r="Z41" s="471">
        <f t="shared" si="13"/>
        <v>13.336939161741851</v>
      </c>
      <c r="AA41" s="471">
        <f t="shared" si="14"/>
        <v>10.076833582486485</v>
      </c>
      <c r="AB41" s="473">
        <f t="shared" si="15"/>
        <v>10.574583142822014</v>
      </c>
      <c r="AC41" s="801">
        <f t="shared" si="16"/>
        <v>95</v>
      </c>
      <c r="AD41" s="435">
        <f t="shared" si="17"/>
        <v>9.1647809485536271</v>
      </c>
      <c r="AE41" s="441">
        <f t="shared" si="18"/>
        <v>10.988886216419342</v>
      </c>
      <c r="AH41" s="54" t="s">
        <v>202</v>
      </c>
      <c r="AI41" s="440">
        <f>ROUND(H62,5)</f>
        <v>0.37492999999999999</v>
      </c>
    </row>
    <row r="42" spans="1:35">
      <c r="A42" s="134">
        <v>1991</v>
      </c>
      <c r="B42" s="479">
        <f t="shared" si="0"/>
        <v>1996</v>
      </c>
      <c r="C42" s="480">
        <f>VLOOKUP($A42,'Brd Tbl'!$A$8:$AX$64,3)</f>
        <v>13.248802039630496</v>
      </c>
      <c r="D42" s="458">
        <f>VLOOKUP($A42,'Brd Tbl'!$A$8:$AX$64,28)</f>
        <v>10.887887975016772</v>
      </c>
      <c r="E42" s="7">
        <v>47</v>
      </c>
      <c r="F42" s="7">
        <v>45</v>
      </c>
      <c r="G42" s="576">
        <v>5.2519392390419908</v>
      </c>
      <c r="H42" s="576">
        <v>0.36015477494534698</v>
      </c>
      <c r="I42" s="579">
        <v>0.23803723280712846</v>
      </c>
      <c r="J42" s="7">
        <v>10.023558555920566</v>
      </c>
      <c r="K42" s="7">
        <v>0.70499598247312401</v>
      </c>
      <c r="L42" s="7">
        <v>4.8409028529600863E-2</v>
      </c>
      <c r="M42" s="576">
        <v>0.51492586198001478</v>
      </c>
      <c r="N42" s="440">
        <f t="shared" si="1"/>
        <v>0.86432941909620631</v>
      </c>
      <c r="O42" s="440">
        <f t="shared" si="2"/>
        <v>0.74706534471518549</v>
      </c>
      <c r="P42" s="465">
        <f t="shared" si="3"/>
        <v>10.023558555920566</v>
      </c>
      <c r="Q42" s="440">
        <f t="shared" si="19"/>
        <v>9.1115059219877086</v>
      </c>
      <c r="R42" s="440">
        <f t="shared" si="5"/>
        <v>10.935611189853423</v>
      </c>
      <c r="S42" s="466">
        <f t="shared" si="20"/>
        <v>30972.597986630259</v>
      </c>
      <c r="T42" s="440">
        <f t="shared" si="7"/>
        <v>959301826.04141271</v>
      </c>
      <c r="U42" s="466">
        <f t="shared" si="8"/>
        <v>22551.538210279497</v>
      </c>
      <c r="V42" s="467">
        <f t="shared" si="9"/>
        <v>9058.9266615174365</v>
      </c>
      <c r="W42" s="467">
        <f t="shared" si="10"/>
        <v>56140.412065606317</v>
      </c>
      <c r="X42" s="468">
        <f t="shared" si="11"/>
        <v>-0.57866600355184206</v>
      </c>
      <c r="Y42" s="468">
        <f t="shared" si="12"/>
        <v>0.57866600355184206</v>
      </c>
      <c r="Z42" s="471">
        <f t="shared" si="13"/>
        <v>13.248802039630496</v>
      </c>
      <c r="AA42" s="471">
        <f t="shared" si="14"/>
        <v>10.043787974179413</v>
      </c>
      <c r="AB42" s="473">
        <f t="shared" si="15"/>
        <v>10.887887975016772</v>
      </c>
      <c r="AC42" s="801">
        <f t="shared" si="16"/>
        <v>96</v>
      </c>
      <c r="AD42" s="435">
        <f t="shared" si="17"/>
        <v>9.1317353402465553</v>
      </c>
      <c r="AE42" s="441">
        <f t="shared" si="18"/>
        <v>10.95584060811227</v>
      </c>
      <c r="AH42" s="54" t="s">
        <v>182</v>
      </c>
      <c r="AI42" s="510">
        <f>X65</f>
        <v>0.27271285595570455</v>
      </c>
    </row>
    <row r="43" spans="1:35">
      <c r="A43" s="134">
        <v>1992</v>
      </c>
      <c r="B43" s="479">
        <f t="shared" si="0"/>
        <v>1997</v>
      </c>
      <c r="C43" s="480">
        <f>VLOOKUP($A43,'Brd Tbl'!$A$8:$AX$64,3)</f>
        <v>13.232707328112893</v>
      </c>
      <c r="D43" s="458">
        <f>VLOOKUP($A43,'Brd Tbl'!$A$8:$AX$64,28)</f>
        <v>10.198544960378467</v>
      </c>
      <c r="E43" s="7">
        <v>47</v>
      </c>
      <c r="F43" s="7">
        <v>45</v>
      </c>
      <c r="G43" s="576">
        <v>5.1058442668337607</v>
      </c>
      <c r="H43" s="576">
        <v>0.3724214129111042</v>
      </c>
      <c r="I43" s="579">
        <v>0.24168544166967515</v>
      </c>
      <c r="J43" s="7">
        <v>10.033987826608687</v>
      </c>
      <c r="K43" s="7">
        <v>0.71599179345489949</v>
      </c>
      <c r="L43" s="7">
        <v>5.0121476933524485E-2</v>
      </c>
      <c r="M43" s="576">
        <v>0.53024471930853956</v>
      </c>
      <c r="N43" s="440">
        <f t="shared" si="1"/>
        <v>0.16455713376977954</v>
      </c>
      <c r="O43" s="440">
        <f t="shared" si="2"/>
        <v>2.7079050274525118E-2</v>
      </c>
      <c r="P43" s="465">
        <f t="shared" si="3"/>
        <v>10.033987826608687</v>
      </c>
      <c r="Q43" s="440">
        <f t="shared" si="19"/>
        <v>9.1219351926758296</v>
      </c>
      <c r="R43" s="440">
        <f t="shared" si="5"/>
        <v>10.946040460541544</v>
      </c>
      <c r="S43" s="466">
        <f t="shared" si="20"/>
        <v>4076.1042942898166</v>
      </c>
      <c r="T43" s="440">
        <f t="shared" si="7"/>
        <v>16614626.217927884</v>
      </c>
      <c r="U43" s="466">
        <f t="shared" si="8"/>
        <v>22787.965043426251</v>
      </c>
      <c r="V43" s="467">
        <f t="shared" si="9"/>
        <v>9153.8990453220576</v>
      </c>
      <c r="W43" s="467">
        <f t="shared" si="10"/>
        <v>56728.979449013219</v>
      </c>
      <c r="X43" s="468">
        <f t="shared" si="11"/>
        <v>-0.15173070926254389</v>
      </c>
      <c r="Y43" s="468">
        <f t="shared" si="12"/>
        <v>0.15173070926254389</v>
      </c>
      <c r="Z43" s="471">
        <f t="shared" si="13"/>
        <v>13.232707328112893</v>
      </c>
      <c r="AA43" s="471">
        <f t="shared" si="14"/>
        <v>10.037753518777588</v>
      </c>
      <c r="AB43" s="473">
        <f t="shared" si="15"/>
        <v>10.198544960378467</v>
      </c>
      <c r="AC43" s="801">
        <f t="shared" si="16"/>
        <v>97</v>
      </c>
      <c r="AD43" s="435">
        <f t="shared" si="17"/>
        <v>9.125700884844731</v>
      </c>
      <c r="AE43" s="441">
        <f t="shared" si="18"/>
        <v>10.949806152710446</v>
      </c>
      <c r="AH43" s="54"/>
      <c r="AI43" s="11"/>
    </row>
    <row r="44" spans="1:35">
      <c r="A44" s="134">
        <v>1993</v>
      </c>
      <c r="B44" s="479">
        <f t="shared" si="0"/>
        <v>1998</v>
      </c>
      <c r="C44" s="480">
        <f>VLOOKUP($A44,'Brd Tbl'!$A$8:$AX$64,3)</f>
        <v>13.388905223721844</v>
      </c>
      <c r="D44" s="458">
        <f>VLOOKUP($A44,'Brd Tbl'!$A$8:$AX$64,28)</f>
        <v>9.8528858812286817</v>
      </c>
      <c r="E44" s="7">
        <v>47</v>
      </c>
      <c r="F44" s="7">
        <v>45</v>
      </c>
      <c r="G44" s="576">
        <v>4.97297005648677</v>
      </c>
      <c r="H44" s="576">
        <v>0.3832267730317751</v>
      </c>
      <c r="I44" s="579">
        <v>0.24244155216851432</v>
      </c>
      <c r="J44" s="7">
        <v>10.103956999801969</v>
      </c>
      <c r="K44" s="7">
        <v>0.71545373204109874</v>
      </c>
      <c r="L44" s="7">
        <v>5.2603751751626682E-2</v>
      </c>
      <c r="M44" s="576">
        <v>0.52947966279136682</v>
      </c>
      <c r="N44" s="440">
        <f t="shared" si="1"/>
        <v>-0.25107111857328768</v>
      </c>
      <c r="O44" s="440">
        <f t="shared" si="2"/>
        <v>6.3036706581641885E-2</v>
      </c>
      <c r="P44" s="465">
        <f t="shared" si="3"/>
        <v>10.103956999801969</v>
      </c>
      <c r="Q44" s="440">
        <f t="shared" si="19"/>
        <v>9.191904365869112</v>
      </c>
      <c r="R44" s="440">
        <f t="shared" si="5"/>
        <v>11.016009633734827</v>
      </c>
      <c r="S44" s="466">
        <f t="shared" si="20"/>
        <v>-5426.3801552438199</v>
      </c>
      <c r="T44" s="440">
        <f t="shared" si="7"/>
        <v>29445601.589223944</v>
      </c>
      <c r="U44" s="466">
        <f t="shared" si="8"/>
        <v>24439.525539067225</v>
      </c>
      <c r="V44" s="467">
        <f t="shared" si="9"/>
        <v>9817.3289749155629</v>
      </c>
      <c r="W44" s="467">
        <f t="shared" si="10"/>
        <v>60840.4190285226</v>
      </c>
      <c r="X44" s="468">
        <f t="shared" si="11"/>
        <v>0.28540149700115608</v>
      </c>
      <c r="Y44" s="468">
        <f t="shared" si="12"/>
        <v>0.28540149700115608</v>
      </c>
      <c r="Z44" s="471">
        <f t="shared" si="13"/>
        <v>13.388905223721844</v>
      </c>
      <c r="AA44" s="471">
        <f t="shared" si="14"/>
        <v>10.096317428660658</v>
      </c>
      <c r="AB44" s="473">
        <f t="shared" si="15"/>
        <v>9.8528858812286817</v>
      </c>
      <c r="AC44" s="801">
        <f t="shared" si="16"/>
        <v>98</v>
      </c>
      <c r="AD44" s="435">
        <f t="shared" si="17"/>
        <v>9.1842647947278007</v>
      </c>
      <c r="AE44" s="441">
        <f t="shared" si="18"/>
        <v>11.008370062593515</v>
      </c>
      <c r="AH44" s="54"/>
      <c r="AI44" s="11"/>
    </row>
    <row r="45" spans="1:35">
      <c r="A45" s="134">
        <v>1994</v>
      </c>
      <c r="B45" s="479">
        <f t="shared" si="0"/>
        <v>1999</v>
      </c>
      <c r="C45" s="480">
        <f>VLOOKUP($A45,'Brd Tbl'!$A$8:$AX$64,3)</f>
        <v>13.329360121264791</v>
      </c>
      <c r="D45" s="458">
        <f>VLOOKUP($A45,'Brd Tbl'!$A$8:$AX$64,28)</f>
        <v>10.460287109250565</v>
      </c>
      <c r="E45" s="7">
        <v>47</v>
      </c>
      <c r="F45" s="7">
        <v>45</v>
      </c>
      <c r="G45" s="576">
        <v>5.2046293612369441</v>
      </c>
      <c r="H45" s="576">
        <v>0.36450999333413803</v>
      </c>
      <c r="I45" s="579">
        <v>0.24151639921826773</v>
      </c>
      <c r="J45" s="7">
        <v>10.063314330187499</v>
      </c>
      <c r="K45" s="7">
        <v>0.71401994814958458</v>
      </c>
      <c r="L45" s="7">
        <v>4.8180120914655206E-2</v>
      </c>
      <c r="M45" s="576">
        <v>0.52746794617997517</v>
      </c>
      <c r="N45" s="440">
        <f t="shared" si="1"/>
        <v>0.39697277906306638</v>
      </c>
      <c r="O45" s="440">
        <f t="shared" si="2"/>
        <v>0.15758738731705413</v>
      </c>
      <c r="P45" s="465">
        <f t="shared" si="3"/>
        <v>10.063314330187499</v>
      </c>
      <c r="Q45" s="440">
        <f t="shared" si="19"/>
        <v>9.1512616962546414</v>
      </c>
      <c r="R45" s="440">
        <f t="shared" si="5"/>
        <v>10.975366964120356</v>
      </c>
      <c r="S45" s="466">
        <f t="shared" si="20"/>
        <v>11435.418366579041</v>
      </c>
      <c r="T45" s="440">
        <f t="shared" si="7"/>
        <v>130768793.21869326</v>
      </c>
      <c r="U45" s="466">
        <f t="shared" si="8"/>
        <v>23466.152205755032</v>
      </c>
      <c r="V45" s="467">
        <f t="shared" si="9"/>
        <v>9426.3260393937362</v>
      </c>
      <c r="W45" s="467">
        <f t="shared" si="10"/>
        <v>58417.277000857692</v>
      </c>
      <c r="X45" s="468">
        <f t="shared" si="11"/>
        <v>-0.32764767255613758</v>
      </c>
      <c r="Y45" s="468">
        <f t="shared" si="12"/>
        <v>0.32764767255613758</v>
      </c>
      <c r="Z45" s="471">
        <f t="shared" si="13"/>
        <v>13.329360121264791</v>
      </c>
      <c r="AA45" s="471">
        <f t="shared" si="14"/>
        <v>10.073991942131677</v>
      </c>
      <c r="AB45" s="473">
        <f t="shared" si="15"/>
        <v>10.460287109250565</v>
      </c>
      <c r="AC45" s="801">
        <f t="shared" si="16"/>
        <v>99</v>
      </c>
      <c r="AD45" s="435">
        <f t="shared" si="17"/>
        <v>9.1619393081988196</v>
      </c>
      <c r="AE45" s="441">
        <f t="shared" si="18"/>
        <v>10.986044576064534</v>
      </c>
      <c r="AH45" s="54"/>
      <c r="AI45" s="11"/>
    </row>
    <row r="46" spans="1:35">
      <c r="A46" s="134">
        <v>1995</v>
      </c>
      <c r="B46" s="479">
        <f t="shared" si="0"/>
        <v>2000</v>
      </c>
      <c r="C46" s="480">
        <f>VLOOKUP($A46,'Brd Tbl'!$A$8:$AX$64,3)</f>
        <v>13.178205610451972</v>
      </c>
      <c r="D46" s="458">
        <f>VLOOKUP($A46,'Brd Tbl'!$A$8:$AX$64,28)</f>
        <v>9.1049258695616349</v>
      </c>
      <c r="E46" s="7">
        <v>47</v>
      </c>
      <c r="F46" s="7">
        <v>45</v>
      </c>
      <c r="G46" s="576">
        <v>4.9849799706762639</v>
      </c>
      <c r="H46" s="576">
        <v>0.38339369529107592</v>
      </c>
      <c r="I46" s="579">
        <v>0.23716704444100406</v>
      </c>
      <c r="J46" s="7">
        <v>10.037420916973034</v>
      </c>
      <c r="K46" s="7">
        <v>0.70308287018374493</v>
      </c>
      <c r="L46" s="7">
        <v>5.4884967081160842E-2</v>
      </c>
      <c r="M46" s="576">
        <v>0.51231986902827875</v>
      </c>
      <c r="N46" s="440">
        <f t="shared" si="1"/>
        <v>-0.93249504741139866</v>
      </c>
      <c r="O46" s="440">
        <f t="shared" si="2"/>
        <v>0.86954701344678664</v>
      </c>
      <c r="P46" s="465">
        <f t="shared" si="3"/>
        <v>10.037420916973034</v>
      </c>
      <c r="Q46" s="440">
        <f t="shared" si="19"/>
        <v>9.1253682830401761</v>
      </c>
      <c r="R46" s="440">
        <f t="shared" si="5"/>
        <v>10.949473550905891</v>
      </c>
      <c r="S46" s="466">
        <f t="shared" si="20"/>
        <v>-13866.818498869521</v>
      </c>
      <c r="T46" s="440">
        <f t="shared" si="7"/>
        <v>192288655.28058997</v>
      </c>
      <c r="U46" s="466">
        <f t="shared" si="8"/>
        <v>22866.332631174355</v>
      </c>
      <c r="V46" s="467">
        <f t="shared" si="9"/>
        <v>9185.3792141438244</v>
      </c>
      <c r="W46" s="467">
        <f t="shared" si="10"/>
        <v>56924.069851616478</v>
      </c>
      <c r="X46" s="468">
        <f t="shared" si="11"/>
        <v>1.5408407937371769</v>
      </c>
      <c r="Y46" s="468">
        <f t="shared" si="12"/>
        <v>1.5408407937371769</v>
      </c>
      <c r="Z46" s="471">
        <f t="shared" si="13"/>
        <v>13.178205610451972</v>
      </c>
      <c r="AA46" s="471">
        <f t="shared" si="14"/>
        <v>10.017318968944998</v>
      </c>
      <c r="AB46" s="473">
        <f t="shared" si="15"/>
        <v>9.1049258695616349</v>
      </c>
      <c r="AC46" s="976" t="s">
        <v>315</v>
      </c>
      <c r="AD46" s="435">
        <f t="shared" si="17"/>
        <v>9.105266335012141</v>
      </c>
      <c r="AE46" s="441">
        <f t="shared" si="18"/>
        <v>10.929371602877856</v>
      </c>
      <c r="AH46" s="54"/>
      <c r="AI46" s="11"/>
    </row>
    <row r="47" spans="1:35">
      <c r="A47" s="134">
        <v>1996</v>
      </c>
      <c r="B47" s="479">
        <f t="shared" si="0"/>
        <v>2001</v>
      </c>
      <c r="C47" s="480">
        <f>VLOOKUP($A47,'Brd Tbl'!$A$8:$AX$64,3)</f>
        <v>13.422225465655695</v>
      </c>
      <c r="D47" s="458">
        <f>VLOOKUP($A47,'Brd Tbl'!$A$8:$AX$64,28)</f>
        <v>8.933054979268606</v>
      </c>
      <c r="E47" s="7">
        <v>47</v>
      </c>
      <c r="F47" s="7">
        <v>45</v>
      </c>
      <c r="G47" s="576">
        <v>4.5154666015886793</v>
      </c>
      <c r="H47" s="576">
        <v>0.41968897688921614</v>
      </c>
      <c r="I47" s="579">
        <v>0.23541429820816365</v>
      </c>
      <c r="J47" s="7">
        <v>10.148626674846099</v>
      </c>
      <c r="K47" s="7">
        <v>0.69388176444806182</v>
      </c>
      <c r="L47" s="7">
        <v>6.596876272345395E-2</v>
      </c>
      <c r="M47" s="576">
        <v>0.49938226192950536</v>
      </c>
      <c r="N47" s="440">
        <f t="shared" si="1"/>
        <v>-1.2155716955774931</v>
      </c>
      <c r="O47" s="440">
        <f t="shared" si="2"/>
        <v>1.4776145470891415</v>
      </c>
      <c r="P47" s="465">
        <f t="shared" si="3"/>
        <v>10.148626674846099</v>
      </c>
      <c r="Q47" s="440">
        <f t="shared" si="19"/>
        <v>9.2365740409132417</v>
      </c>
      <c r="R47" s="440">
        <f t="shared" si="5"/>
        <v>11.060679308778957</v>
      </c>
      <c r="S47" s="466">
        <f t="shared" si="20"/>
        <v>-17977.599576424851</v>
      </c>
      <c r="T47" s="440">
        <f t="shared" si="7"/>
        <v>323194086.53027099</v>
      </c>
      <c r="U47" s="466">
        <f t="shared" si="8"/>
        <v>25555.981423960253</v>
      </c>
      <c r="V47" s="467">
        <f t="shared" si="9"/>
        <v>10265.808004938241</v>
      </c>
      <c r="W47" s="467">
        <f t="shared" si="10"/>
        <v>63619.754648404865</v>
      </c>
      <c r="X47" s="468">
        <f t="shared" si="11"/>
        <v>2.3722213974044375</v>
      </c>
      <c r="Y47" s="468">
        <f t="shared" si="12"/>
        <v>2.3722213974044375</v>
      </c>
      <c r="Z47" s="471">
        <f t="shared" si="13"/>
        <v>13.422225465655695</v>
      </c>
      <c r="AA47" s="471">
        <f t="shared" si="14"/>
        <v>10.108810321975824</v>
      </c>
      <c r="AB47" s="473">
        <f t="shared" si="15"/>
        <v>8.933054979268606</v>
      </c>
      <c r="AC47" s="976" t="s">
        <v>316</v>
      </c>
      <c r="AD47" s="435">
        <f t="shared" si="17"/>
        <v>9.1967576880429664</v>
      </c>
      <c r="AE47" s="441">
        <f t="shared" si="18"/>
        <v>11.020862955908681</v>
      </c>
      <c r="AH47" s="54"/>
      <c r="AI47" s="11"/>
    </row>
    <row r="48" spans="1:35">
      <c r="A48" s="134">
        <v>1997</v>
      </c>
      <c r="B48" s="479">
        <f t="shared" si="0"/>
        <v>2002</v>
      </c>
      <c r="C48" s="480">
        <f>VLOOKUP($A48,'Brd Tbl'!$A$8:$AX$64,3)</f>
        <v>13.710519648350095</v>
      </c>
      <c r="D48" s="458">
        <f>VLOOKUP($A48,'Brd Tbl'!$A$8:$AX$64,28)</f>
        <v>9.3153891456982763</v>
      </c>
      <c r="E48" s="7">
        <v>47</v>
      </c>
      <c r="F48" s="7">
        <v>45</v>
      </c>
      <c r="G48" s="576">
        <v>4.2189089906421469</v>
      </c>
      <c r="H48" s="576">
        <v>0.4419272945618955</v>
      </c>
      <c r="I48" s="579">
        <v>0.24231888123811257</v>
      </c>
      <c r="J48" s="7">
        <v>10.277961845875215</v>
      </c>
      <c r="K48" s="7">
        <v>0.70281464677859184</v>
      </c>
      <c r="L48" s="7">
        <v>6.8824957848627868E-2</v>
      </c>
      <c r="M48" s="576">
        <v>0.51110712031170147</v>
      </c>
      <c r="N48" s="440">
        <f t="shared" si="1"/>
        <v>-0.96257270017693841</v>
      </c>
      <c r="O48" s="440">
        <f t="shared" si="2"/>
        <v>0.92654620312592217</v>
      </c>
      <c r="P48" s="465">
        <f t="shared" si="3"/>
        <v>10.277961845875215</v>
      </c>
      <c r="Q48" s="440">
        <f t="shared" si="19"/>
        <v>9.3659092119423573</v>
      </c>
      <c r="R48" s="440">
        <f t="shared" si="5"/>
        <v>11.190014479808072</v>
      </c>
      <c r="S48" s="466">
        <f t="shared" si="20"/>
        <v>-17976.886487543205</v>
      </c>
      <c r="T48" s="440">
        <f t="shared" si="7"/>
        <v>323168447.78601348</v>
      </c>
      <c r="U48" s="466">
        <f t="shared" si="8"/>
        <v>29084.534339218044</v>
      </c>
      <c r="V48" s="467">
        <f t="shared" si="9"/>
        <v>11683.223605707928</v>
      </c>
      <c r="W48" s="467">
        <f t="shared" si="10"/>
        <v>72403.830165150459</v>
      </c>
      <c r="X48" s="468">
        <f t="shared" si="11"/>
        <v>1.6184242359495222</v>
      </c>
      <c r="Y48" s="468">
        <f t="shared" si="12"/>
        <v>1.6184242359495222</v>
      </c>
      <c r="Z48" s="471">
        <f t="shared" si="13"/>
        <v>13.710519648350095</v>
      </c>
      <c r="AA48" s="471">
        <f t="shared" si="14"/>
        <v>10.216901628003384</v>
      </c>
      <c r="AB48" s="473">
        <f t="shared" si="15"/>
        <v>9.3153891456982763</v>
      </c>
      <c r="AC48" s="976" t="s">
        <v>324</v>
      </c>
      <c r="AD48" s="435">
        <f t="shared" si="17"/>
        <v>9.304848994070527</v>
      </c>
      <c r="AE48" s="441">
        <f t="shared" si="18"/>
        <v>11.128954261936242</v>
      </c>
      <c r="AH48" s="54"/>
      <c r="AI48" s="11"/>
    </row>
    <row r="49" spans="1:35">
      <c r="A49" s="134">
        <v>1998</v>
      </c>
      <c r="B49" s="479">
        <f t="shared" si="0"/>
        <v>2003</v>
      </c>
      <c r="C49" s="480">
        <f>VLOOKUP($A49,'Brd Tbl'!$A$8:$AX$64,3)</f>
        <v>13.361979778810085</v>
      </c>
      <c r="D49" s="458">
        <f>VLOOKUP($A49,'Brd Tbl'!$A$8:$AX$64,28)</f>
        <v>9.4965134534434341</v>
      </c>
      <c r="E49" s="7">
        <v>47</v>
      </c>
      <c r="F49" s="7">
        <v>45</v>
      </c>
      <c r="G49" s="576">
        <v>4.8506832292703042</v>
      </c>
      <c r="H49" s="576">
        <v>0.39312912893908947</v>
      </c>
      <c r="I49" s="579">
        <v>0.2406634591247932</v>
      </c>
      <c r="J49" s="7">
        <v>10.103666700615641</v>
      </c>
      <c r="K49" s="7">
        <v>0.71082748328092793</v>
      </c>
      <c r="L49" s="7">
        <v>5.5978287501846268E-2</v>
      </c>
      <c r="M49" s="576">
        <v>0.52297757004732204</v>
      </c>
      <c r="N49" s="440">
        <f t="shared" si="1"/>
        <v>-0.60715324717220653</v>
      </c>
      <c r="O49" s="440">
        <f t="shared" si="2"/>
        <v>0.36863506555175451</v>
      </c>
      <c r="P49" s="465">
        <f t="shared" si="3"/>
        <v>10.103666700615641</v>
      </c>
      <c r="Q49" s="440">
        <f t="shared" si="19"/>
        <v>9.1916140666827832</v>
      </c>
      <c r="R49" s="440">
        <f t="shared" si="5"/>
        <v>11.015719334548498</v>
      </c>
      <c r="S49" s="466">
        <f t="shared" si="20"/>
        <v>-11119.203168127522</v>
      </c>
      <c r="T49" s="440">
        <f t="shared" si="7"/>
        <v>123636679.09409712</v>
      </c>
      <c r="U49" s="466">
        <f t="shared" si="8"/>
        <v>24432.431794392942</v>
      </c>
      <c r="V49" s="467">
        <f t="shared" si="9"/>
        <v>9814.4794259331102</v>
      </c>
      <c r="W49" s="467">
        <f t="shared" si="10"/>
        <v>60822.759667755767</v>
      </c>
      <c r="X49" s="468">
        <f t="shared" si="11"/>
        <v>0.83519959585090087</v>
      </c>
      <c r="Y49" s="468">
        <f t="shared" si="12"/>
        <v>0.83519959585090087</v>
      </c>
      <c r="Z49" s="471">
        <f t="shared" si="13"/>
        <v>13.361979778810085</v>
      </c>
      <c r="AA49" s="471">
        <f t="shared" si="14"/>
        <v>10.086222162503415</v>
      </c>
      <c r="AB49" s="473">
        <f t="shared" si="15"/>
        <v>9.4965134534434341</v>
      </c>
      <c r="AC49" s="976" t="s">
        <v>349</v>
      </c>
      <c r="AD49" s="435">
        <f t="shared" si="17"/>
        <v>9.1741695285705571</v>
      </c>
      <c r="AE49" s="441">
        <f t="shared" si="18"/>
        <v>10.998274796436272</v>
      </c>
      <c r="AH49" s="54"/>
      <c r="AI49" s="11"/>
    </row>
    <row r="50" spans="1:35">
      <c r="A50" s="134">
        <v>1999</v>
      </c>
      <c r="B50" s="479">
        <f t="shared" si="0"/>
        <v>2004</v>
      </c>
      <c r="C50" s="480">
        <f>VLOOKUP($A50,'Brd Tbl'!$A$8:$AX$64,3)</f>
        <v>13.383013866505049</v>
      </c>
      <c r="D50" s="458">
        <f>VLOOKUP($A50,'Brd Tbl'!$A$8:$AX$64,28)</f>
        <v>11.181371948983598</v>
      </c>
      <c r="E50" s="7">
        <v>47</v>
      </c>
      <c r="F50" s="7">
        <v>45</v>
      </c>
      <c r="G50" s="576">
        <v>5.5281275361132636</v>
      </c>
      <c r="H50" s="576">
        <v>0.33866100971416802</v>
      </c>
      <c r="I50" s="579">
        <v>0.23622389901865287</v>
      </c>
      <c r="J50" s="7">
        <v>10.060432525162575</v>
      </c>
      <c r="K50" s="7">
        <v>0.69724368692818672</v>
      </c>
      <c r="L50" s="7">
        <v>4.3679117593779328E-2</v>
      </c>
      <c r="M50" s="576">
        <v>0.50408671629573809</v>
      </c>
      <c r="N50" s="440">
        <f t="shared" si="1"/>
        <v>1.1209394238210226</v>
      </c>
      <c r="O50" s="440">
        <f t="shared" si="2"/>
        <v>1.2565051918762062</v>
      </c>
      <c r="P50" s="465">
        <f t="shared" si="3"/>
        <v>10.060432525162575</v>
      </c>
      <c r="Q50" s="440">
        <f t="shared" si="19"/>
        <v>9.1483798912297178</v>
      </c>
      <c r="R50" s="440">
        <f t="shared" si="5"/>
        <v>10.972485159095433</v>
      </c>
      <c r="S50" s="466">
        <f t="shared" si="20"/>
        <v>48382.149422204777</v>
      </c>
      <c r="T50" s="440">
        <f t="shared" si="7"/>
        <v>2340832382.7125502</v>
      </c>
      <c r="U50" s="466">
        <f t="shared" si="8"/>
        <v>23398.624677731201</v>
      </c>
      <c r="V50" s="467">
        <f t="shared" si="9"/>
        <v>9399.2003099513604</v>
      </c>
      <c r="W50" s="467">
        <f t="shared" si="10"/>
        <v>58249.172137513982</v>
      </c>
      <c r="X50" s="468">
        <f t="shared" si="11"/>
        <v>-0.67402657645966968</v>
      </c>
      <c r="Y50" s="468">
        <f t="shared" si="12"/>
        <v>0.67402657645966968</v>
      </c>
      <c r="Z50" s="471">
        <f t="shared" si="13"/>
        <v>13.383013866505049</v>
      </c>
      <c r="AA50" s="471">
        <f t="shared" si="14"/>
        <v>10.094108558228772</v>
      </c>
      <c r="AB50" s="473">
        <f t="shared" si="15"/>
        <v>11.181371948983598</v>
      </c>
      <c r="AC50" s="976" t="s">
        <v>350</v>
      </c>
      <c r="AD50" s="435">
        <f t="shared" si="17"/>
        <v>9.1820559242959146</v>
      </c>
      <c r="AE50" s="441">
        <f t="shared" si="18"/>
        <v>11.006161192161629</v>
      </c>
      <c r="AH50" s="54"/>
      <c r="AI50" s="11"/>
    </row>
    <row r="51" spans="1:35">
      <c r="A51" s="134">
        <v>2000</v>
      </c>
      <c r="B51" s="479">
        <f t="shared" si="0"/>
        <v>2005</v>
      </c>
      <c r="C51" s="480">
        <f>VLOOKUP($A51,'Brd Tbl'!$A$8:$AX$64,3)</f>
        <v>13.194855187127974</v>
      </c>
      <c r="D51" s="458">
        <f>VLOOKUP($A51,'Brd Tbl'!$A$8:$AX$64,28)</f>
        <v>10.787155626946394</v>
      </c>
      <c r="E51" s="7">
        <v>47</v>
      </c>
      <c r="F51" s="7">
        <v>45</v>
      </c>
      <c r="G51" s="576">
        <v>5.1722235097503475</v>
      </c>
      <c r="H51" s="576">
        <v>0.36637371973492966</v>
      </c>
      <c r="I51" s="579">
        <v>0.23856150293318892</v>
      </c>
      <c r="J51" s="7">
        <v>10.006471686022156</v>
      </c>
      <c r="K51" s="7">
        <v>0.70709617215166631</v>
      </c>
      <c r="L51" s="7">
        <v>4.9802296115967426E-2</v>
      </c>
      <c r="M51" s="576">
        <v>0.51785347749274246</v>
      </c>
      <c r="N51" s="440">
        <f t="shared" si="1"/>
        <v>0.78068394092423787</v>
      </c>
      <c r="O51" s="440">
        <f t="shared" si="2"/>
        <v>0.60946741561699891</v>
      </c>
      <c r="P51" s="465">
        <f t="shared" si="3"/>
        <v>10.006471686022156</v>
      </c>
      <c r="Q51" s="440">
        <f t="shared" si="19"/>
        <v>9.0944190520892985</v>
      </c>
      <c r="R51" s="440">
        <f t="shared" si="5"/>
        <v>10.918524319955013</v>
      </c>
      <c r="S51" s="466">
        <f t="shared" si="20"/>
        <v>26225.70967028799</v>
      </c>
      <c r="T51" s="440">
        <f t="shared" si="7"/>
        <v>687787847.71023703</v>
      </c>
      <c r="U51" s="466">
        <f t="shared" si="8"/>
        <v>22169.476426422112</v>
      </c>
      <c r="V51" s="467">
        <f t="shared" si="9"/>
        <v>8905.4528874511088</v>
      </c>
      <c r="W51" s="467">
        <f t="shared" si="10"/>
        <v>55189.297078226111</v>
      </c>
      <c r="X51" s="468">
        <f t="shared" si="11"/>
        <v>-0.54190740413478455</v>
      </c>
      <c r="Y51" s="468">
        <f t="shared" si="12"/>
        <v>0.54190740413478455</v>
      </c>
      <c r="Z51" s="471">
        <f t="shared" si="13"/>
        <v>13.194855187127974</v>
      </c>
      <c r="AA51" s="471">
        <f t="shared" si="14"/>
        <v>10.023561462188862</v>
      </c>
      <c r="AB51" s="473">
        <f t="shared" si="15"/>
        <v>10.787155626946394</v>
      </c>
      <c r="AC51" s="976" t="s">
        <v>351</v>
      </c>
      <c r="AD51" s="435">
        <f t="shared" si="17"/>
        <v>9.1115088282560048</v>
      </c>
      <c r="AE51" s="441">
        <f t="shared" si="18"/>
        <v>10.93561409612172</v>
      </c>
      <c r="AH51" s="54"/>
      <c r="AI51" s="11"/>
    </row>
    <row r="52" spans="1:35">
      <c r="A52" s="134">
        <v>2001</v>
      </c>
      <c r="B52" s="479">
        <f t="shared" si="0"/>
        <v>2006</v>
      </c>
      <c r="C52" s="480">
        <f>VLOOKUP($A52,'Brd Tbl'!$A$8:$AX$64,3)</f>
        <v>13.43060220449148</v>
      </c>
      <c r="D52" s="458">
        <f>VLOOKUP($A52,'Brd Tbl'!$A$8:$AX$64,28)</f>
        <v>10.971602358695069</v>
      </c>
      <c r="E52" s="7">
        <v>47</v>
      </c>
      <c r="F52" s="7">
        <v>45</v>
      </c>
      <c r="G52" s="576">
        <v>5.4978180643055694</v>
      </c>
      <c r="H52" s="576">
        <v>0.34134335737073218</v>
      </c>
      <c r="I52" s="579">
        <v>0.23907536663410958</v>
      </c>
      <c r="J52" s="7">
        <v>10.082264912297449</v>
      </c>
      <c r="K52" s="7">
        <v>0.70444509997184424</v>
      </c>
      <c r="L52" s="7">
        <v>4.3337083083016946E-2</v>
      </c>
      <c r="M52" s="576">
        <v>0.51399276094065649</v>
      </c>
      <c r="N52" s="440">
        <f t="shared" si="1"/>
        <v>0.88933744639762047</v>
      </c>
      <c r="O52" s="440">
        <f t="shared" si="2"/>
        <v>0.79092109356504048</v>
      </c>
      <c r="P52" s="465">
        <f t="shared" si="3"/>
        <v>10.082264912297449</v>
      </c>
      <c r="Q52" s="440">
        <f t="shared" si="19"/>
        <v>9.1702122783645912</v>
      </c>
      <c r="R52" s="440">
        <f t="shared" si="5"/>
        <v>10.994317546230306</v>
      </c>
      <c r="S52" s="466">
        <f t="shared" si="20"/>
        <v>34282.682606920345</v>
      </c>
      <c r="T52" s="440">
        <f t="shared" si="7"/>
        <v>1175302326.7268388</v>
      </c>
      <c r="U52" s="466">
        <f t="shared" si="8"/>
        <v>23915.089829286379</v>
      </c>
      <c r="V52" s="467">
        <f t="shared" si="9"/>
        <v>9606.6637604505031</v>
      </c>
      <c r="W52" s="467">
        <f t="shared" si="10"/>
        <v>59534.874520893631</v>
      </c>
      <c r="X52" s="468">
        <f t="shared" si="11"/>
        <v>-0.58907207564514918</v>
      </c>
      <c r="Y52" s="468">
        <f t="shared" si="12"/>
        <v>0.58907207564514918</v>
      </c>
      <c r="Z52" s="471">
        <f t="shared" si="13"/>
        <v>13.43060220449148</v>
      </c>
      <c r="AA52" s="471">
        <f t="shared" si="14"/>
        <v>10.111951046608382</v>
      </c>
      <c r="AB52" s="473">
        <f t="shared" si="15"/>
        <v>10.971602358695069</v>
      </c>
      <c r="AC52" s="976" t="s">
        <v>361</v>
      </c>
      <c r="AD52" s="435">
        <f t="shared" si="17"/>
        <v>9.199898412675525</v>
      </c>
      <c r="AE52" s="441">
        <f t="shared" si="18"/>
        <v>11.02400368054124</v>
      </c>
      <c r="AH52" s="54"/>
      <c r="AI52" s="11"/>
    </row>
    <row r="53" spans="1:35">
      <c r="A53" s="134">
        <v>2002</v>
      </c>
      <c r="B53" s="479">
        <f t="shared" si="0"/>
        <v>2007</v>
      </c>
      <c r="C53" s="480">
        <f>VLOOKUP($A53,'Brd Tbl'!$A$8:$AX$64,3)</f>
        <v>13.504067072554466</v>
      </c>
      <c r="D53" s="458">
        <f>VLOOKUP($A53,'Brd Tbl'!$A$8:$AX$64,28)</f>
        <v>9.640021832322569</v>
      </c>
      <c r="E53" s="7">
        <v>47</v>
      </c>
      <c r="F53" s="7">
        <v>45</v>
      </c>
      <c r="G53" s="576">
        <v>4.773015579432756</v>
      </c>
      <c r="H53" s="576">
        <v>0.39892011364326219</v>
      </c>
      <c r="I53" s="579">
        <v>0.24253678927597055</v>
      </c>
      <c r="J53" s="7">
        <v>10.160059550662417</v>
      </c>
      <c r="K53" s="7">
        <v>0.71236235148108751</v>
      </c>
      <c r="L53" s="7">
        <v>5.6708730017855404E-2</v>
      </c>
      <c r="M53" s="576">
        <v>0.52506684317616548</v>
      </c>
      <c r="N53" s="440">
        <f t="shared" si="1"/>
        <v>-0.52003771833984835</v>
      </c>
      <c r="O53" s="440">
        <f t="shared" si="2"/>
        <v>0.27043922849611546</v>
      </c>
      <c r="P53" s="465">
        <f t="shared" si="3"/>
        <v>10.160059550662417</v>
      </c>
      <c r="Q53" s="440">
        <f t="shared" si="19"/>
        <v>9.24800691672956</v>
      </c>
      <c r="R53" s="440">
        <f t="shared" si="5"/>
        <v>11.072112184595275</v>
      </c>
      <c r="S53" s="466">
        <f t="shared" si="20"/>
        <v>-10482.157148262968</v>
      </c>
      <c r="T53" s="440">
        <f t="shared" si="7"/>
        <v>109875618.48088044</v>
      </c>
      <c r="U53" s="466">
        <f t="shared" si="8"/>
        <v>25849.83638878079</v>
      </c>
      <c r="V53" s="467">
        <f t="shared" si="9"/>
        <v>10383.849202421552</v>
      </c>
      <c r="W53" s="467">
        <f t="shared" si="10"/>
        <v>64351.285183427506</v>
      </c>
      <c r="X53" s="468">
        <f t="shared" si="11"/>
        <v>0.68209109418591474</v>
      </c>
      <c r="Y53" s="468">
        <f t="shared" si="12"/>
        <v>0.68209109418591474</v>
      </c>
      <c r="Z53" s="471">
        <f t="shared" si="13"/>
        <v>13.504067072554466</v>
      </c>
      <c r="AA53" s="471">
        <f t="shared" si="14"/>
        <v>10.139495527256084</v>
      </c>
      <c r="AB53" s="473">
        <f t="shared" si="15"/>
        <v>9.640021832322569</v>
      </c>
      <c r="AC53" s="976" t="s">
        <v>362</v>
      </c>
      <c r="AD53" s="435">
        <f t="shared" si="17"/>
        <v>9.2274428933232269</v>
      </c>
      <c r="AE53" s="441">
        <f t="shared" si="18"/>
        <v>11.051548161188942</v>
      </c>
      <c r="AH53" s="54"/>
      <c r="AI53" s="11"/>
    </row>
    <row r="54" spans="1:35">
      <c r="A54" s="134">
        <v>2003</v>
      </c>
      <c r="B54" s="479">
        <f t="shared" si="0"/>
        <v>2008</v>
      </c>
      <c r="C54" s="480">
        <f>VLOOKUP($A54,'Brd Tbl'!$A$8:$AX$64,3)</f>
        <v>13.390195741451633</v>
      </c>
      <c r="D54" s="458">
        <f>VLOOKUP($A54,'Brd Tbl'!$A$8:$AX$64,28)</f>
        <v>9.6421994068747559</v>
      </c>
      <c r="E54" s="7">
        <v>47</v>
      </c>
      <c r="F54" s="7">
        <v>45</v>
      </c>
      <c r="G54" s="576">
        <v>4.8823629678893967</v>
      </c>
      <c r="H54" s="576">
        <v>0.39049065715543735</v>
      </c>
      <c r="I54" s="579">
        <v>0.24165070134013836</v>
      </c>
      <c r="J54" s="7">
        <v>10.111109302408783</v>
      </c>
      <c r="K54" s="7">
        <v>0.71308848183378626</v>
      </c>
      <c r="L54" s="7">
        <v>5.4844839653602991E-2</v>
      </c>
      <c r="M54" s="576">
        <v>0.52614264612013106</v>
      </c>
      <c r="N54" s="440">
        <f t="shared" si="1"/>
        <v>-0.4689098955340274</v>
      </c>
      <c r="O54" s="440">
        <f t="shared" si="2"/>
        <v>0.21987649012973248</v>
      </c>
      <c r="P54" s="465">
        <f t="shared" si="3"/>
        <v>10.111109302408783</v>
      </c>
      <c r="Q54" s="440">
        <f t="shared" si="19"/>
        <v>9.1990566684759258</v>
      </c>
      <c r="R54" s="440">
        <f t="shared" si="5"/>
        <v>11.023161936341641</v>
      </c>
      <c r="S54" s="466">
        <f t="shared" si="20"/>
        <v>-9213.7710518395343</v>
      </c>
      <c r="T54" s="440">
        <f t="shared" si="7"/>
        <v>84893576.995716199</v>
      </c>
      <c r="U54" s="466">
        <f t="shared" si="8"/>
        <v>24614.951021527439</v>
      </c>
      <c r="V54" s="467">
        <f t="shared" si="9"/>
        <v>9887.7971871213285</v>
      </c>
      <c r="W54" s="467">
        <f t="shared" si="10"/>
        <v>61277.127991800109</v>
      </c>
      <c r="X54" s="468">
        <f t="shared" si="11"/>
        <v>0.59825098271520594</v>
      </c>
      <c r="Y54" s="468">
        <f t="shared" si="12"/>
        <v>0.59825098271520594</v>
      </c>
      <c r="Z54" s="471">
        <f t="shared" si="13"/>
        <v>13.390195741451633</v>
      </c>
      <c r="AA54" s="471">
        <f t="shared" si="14"/>
        <v>10.096801287702005</v>
      </c>
      <c r="AB54" s="473">
        <f t="shared" si="15"/>
        <v>9.6421994068747559</v>
      </c>
      <c r="AC54" s="976" t="s">
        <v>363</v>
      </c>
      <c r="AD54" s="435">
        <f t="shared" si="17"/>
        <v>9.1847486537691481</v>
      </c>
      <c r="AE54" s="441">
        <f t="shared" si="18"/>
        <v>11.008853921634863</v>
      </c>
      <c r="AH54" s="54"/>
      <c r="AI54" s="11"/>
    </row>
    <row r="55" spans="1:35">
      <c r="A55" s="134">
        <v>2004</v>
      </c>
      <c r="B55" s="479">
        <f t="shared" si="0"/>
        <v>2009</v>
      </c>
      <c r="C55" s="480">
        <f>VLOOKUP($A55,'Brd Tbl'!$A$8:$AX$64,3)</f>
        <v>13.28167557081543</v>
      </c>
      <c r="D55" s="458">
        <f>VLOOKUP($A55,'Brd Tbl'!$A$8:$AX$64,28)</f>
        <v>10.541509658148065</v>
      </c>
      <c r="E55" s="7">
        <v>47</v>
      </c>
      <c r="F55" s="7">
        <v>45</v>
      </c>
      <c r="G55" s="576">
        <v>5.2018211908648295</v>
      </c>
      <c r="H55" s="576">
        <v>0.36456423067940397</v>
      </c>
      <c r="I55" s="579">
        <v>0.24077394703270119</v>
      </c>
      <c r="J55" s="7">
        <v>10.043845027472591</v>
      </c>
      <c r="K55" s="7">
        <v>0.71264586799622009</v>
      </c>
      <c r="L55" s="7">
        <v>4.8477017783997926E-2</v>
      </c>
      <c r="M55" s="576">
        <v>0.5255512930457561</v>
      </c>
      <c r="N55" s="440">
        <f t="shared" si="1"/>
        <v>0.49766463067547484</v>
      </c>
      <c r="O55" s="440">
        <f t="shared" si="2"/>
        <v>0.24767008462535678</v>
      </c>
      <c r="P55" s="465">
        <f t="shared" si="3"/>
        <v>10.043845027472591</v>
      </c>
      <c r="Q55" s="440">
        <f t="shared" si="19"/>
        <v>9.1317923935397332</v>
      </c>
      <c r="R55" s="440">
        <f t="shared" si="5"/>
        <v>10.955897661405448</v>
      </c>
      <c r="S55" s="466">
        <f t="shared" si="20"/>
        <v>14840.96962273297</v>
      </c>
      <c r="T55" s="440">
        <f t="shared" si="7"/>
        <v>220254379.34288278</v>
      </c>
      <c r="U55" s="466">
        <f t="shared" si="8"/>
        <v>23013.701328298615</v>
      </c>
      <c r="V55" s="467">
        <f t="shared" si="9"/>
        <v>9244.5770483227589</v>
      </c>
      <c r="W55" s="467">
        <f t="shared" si="10"/>
        <v>57290.933491026946</v>
      </c>
      <c r="X55" s="468">
        <f t="shared" si="11"/>
        <v>-0.39205121190806536</v>
      </c>
      <c r="Y55" s="468">
        <f t="shared" si="12"/>
        <v>0.39205121190806536</v>
      </c>
      <c r="Z55" s="471">
        <f t="shared" si="13"/>
        <v>13.28167557081543</v>
      </c>
      <c r="AA55" s="471">
        <f t="shared" si="14"/>
        <v>10.056113380423504</v>
      </c>
      <c r="AB55" s="473">
        <f t="shared" si="15"/>
        <v>10.541509658148065</v>
      </c>
      <c r="AC55" s="976" t="s">
        <v>363</v>
      </c>
      <c r="AD55" s="435">
        <f t="shared" si="17"/>
        <v>9.1440607464906467</v>
      </c>
      <c r="AE55" s="441">
        <f t="shared" si="18"/>
        <v>10.968166014356362</v>
      </c>
      <c r="AH55" s="54"/>
      <c r="AI55" s="11"/>
    </row>
    <row r="56" spans="1:35">
      <c r="A56" s="134">
        <v>2005</v>
      </c>
      <c r="B56" s="479">
        <f t="shared" si="0"/>
        <v>2010</v>
      </c>
      <c r="C56" s="480">
        <f>VLOOKUP($A56,'Brd Tbl'!$A$8:$AX$64,3)</f>
        <v>13.356084865454058</v>
      </c>
      <c r="D56" s="458">
        <f>VLOOKUP($A56,'Brd Tbl'!$A$8:$AX$64,28)</f>
        <v>9.9800919386839855</v>
      </c>
      <c r="E56" s="7">
        <v>47</v>
      </c>
      <c r="F56" s="7">
        <v>45</v>
      </c>
      <c r="G56" s="576">
        <v>5.0375447428042595</v>
      </c>
      <c r="H56" s="576">
        <v>0.37806759370976389</v>
      </c>
      <c r="I56" s="579">
        <v>0.24244893681356622</v>
      </c>
      <c r="J56" s="7">
        <v>10.08704760926987</v>
      </c>
      <c r="K56" s="7">
        <v>0.71622987800465032</v>
      </c>
      <c r="L56" s="7">
        <v>5.1266095879767236E-2</v>
      </c>
      <c r="M56" s="576">
        <v>0.53057747536820032</v>
      </c>
      <c r="N56" s="440">
        <f t="shared" si="1"/>
        <v>-0.10695567058588473</v>
      </c>
      <c r="O56" s="440">
        <f t="shared" si="2"/>
        <v>1.1439515470476289E-2</v>
      </c>
      <c r="P56" s="465">
        <f t="shared" si="3"/>
        <v>10.08704760926987</v>
      </c>
      <c r="Q56" s="440">
        <f t="shared" si="19"/>
        <v>9.1749949753370128</v>
      </c>
      <c r="R56" s="440">
        <f t="shared" si="5"/>
        <v>10.999100243202728</v>
      </c>
      <c r="S56" s="466">
        <f t="shared" si="20"/>
        <v>-2437.4447868612478</v>
      </c>
      <c r="T56" s="440">
        <f t="shared" si="7"/>
        <v>5941137.0889970744</v>
      </c>
      <c r="U56" s="466">
        <f t="shared" si="8"/>
        <v>24029.742412741318</v>
      </c>
      <c r="V56" s="467">
        <f t="shared" si="9"/>
        <v>9652.7195698319829</v>
      </c>
      <c r="W56" s="467">
        <f t="shared" si="10"/>
        <v>59820.293777865307</v>
      </c>
      <c r="X56" s="468">
        <f t="shared" si="11"/>
        <v>0.11288491984937157</v>
      </c>
      <c r="Y56" s="468">
        <f t="shared" si="12"/>
        <v>0.11288491984937157</v>
      </c>
      <c r="Z56" s="471">
        <f t="shared" si="13"/>
        <v>13.356084865454058</v>
      </c>
      <c r="AA56" s="471">
        <f t="shared" si="14"/>
        <v>10.084011958753837</v>
      </c>
      <c r="AB56" s="473">
        <f t="shared" si="15"/>
        <v>9.9800919386839855</v>
      </c>
      <c r="AC56" s="976" t="s">
        <v>363</v>
      </c>
      <c r="AD56" s="435">
        <f t="shared" si="17"/>
        <v>9.1719593248209801</v>
      </c>
      <c r="AE56" s="441">
        <f t="shared" si="18"/>
        <v>10.996064592686695</v>
      </c>
      <c r="AH56" s="54"/>
      <c r="AI56" s="11"/>
    </row>
    <row r="57" spans="1:35">
      <c r="A57" s="134">
        <v>2006</v>
      </c>
      <c r="B57" s="479">
        <f t="shared" si="0"/>
        <v>2011</v>
      </c>
      <c r="C57" s="480">
        <f>VLOOKUP($A57,'Brd Tbl'!$A$8:$AX$64,3)</f>
        <v>13.56329987102068</v>
      </c>
      <c r="D57" s="458">
        <f>VLOOKUP($A57,'Brd Tbl'!$A$8:$AX$64,28)</f>
        <v>10.783812788447905</v>
      </c>
      <c r="E57" s="7">
        <v>47</v>
      </c>
      <c r="F57" s="7">
        <v>45</v>
      </c>
      <c r="G57" s="576">
        <v>5.51399836458718</v>
      </c>
      <c r="H57" s="576">
        <v>0.34048603831962515</v>
      </c>
      <c r="I57" s="579">
        <v>0.24250320444888801</v>
      </c>
      <c r="J57" s="7">
        <v>10.132112604212093</v>
      </c>
      <c r="K57" s="7">
        <v>0.71008641239558035</v>
      </c>
      <c r="L57" s="7">
        <v>4.196919258596573E-2</v>
      </c>
      <c r="M57" s="576">
        <v>0.52178441973708301</v>
      </c>
      <c r="N57" s="440">
        <f t="shared" si="1"/>
        <v>0.65170018423581233</v>
      </c>
      <c r="O57" s="440">
        <f t="shared" si="2"/>
        <v>0.42471313013299172</v>
      </c>
      <c r="P57" s="465">
        <f t="shared" si="3"/>
        <v>10.132112604212093</v>
      </c>
      <c r="Q57" s="440">
        <f t="shared" si="19"/>
        <v>9.2200599702792356</v>
      </c>
      <c r="R57" s="440">
        <f t="shared" si="5"/>
        <v>11.04416523814495</v>
      </c>
      <c r="S57" s="466">
        <f t="shared" si="20"/>
        <v>23096.265120295655</v>
      </c>
      <c r="T57" s="440">
        <f t="shared" si="7"/>
        <v>533437462.50698566</v>
      </c>
      <c r="U57" s="466">
        <f t="shared" si="8"/>
        <v>25137.413781820534</v>
      </c>
      <c r="V57" s="467">
        <f t="shared" si="9"/>
        <v>10097.669870072585</v>
      </c>
      <c r="W57" s="467">
        <f t="shared" si="10"/>
        <v>62577.760985358778</v>
      </c>
      <c r="X57" s="468">
        <f t="shared" si="11"/>
        <v>-0.47884104314676973</v>
      </c>
      <c r="Y57" s="468">
        <f t="shared" si="12"/>
        <v>0.47884104314676973</v>
      </c>
      <c r="Z57" s="471">
        <f t="shared" si="13"/>
        <v>13.56329987102068</v>
      </c>
      <c r="AA57" s="471">
        <f t="shared" si="14"/>
        <v>10.161703920384387</v>
      </c>
      <c r="AB57" s="473">
        <f t="shared" si="15"/>
        <v>10.783812788447905</v>
      </c>
      <c r="AC57" s="976" t="s">
        <v>363</v>
      </c>
      <c r="AD57" s="435">
        <f t="shared" si="17"/>
        <v>9.2496512864515292</v>
      </c>
      <c r="AE57" s="441">
        <f t="shared" si="18"/>
        <v>11.073756554317244</v>
      </c>
      <c r="AH57" s="54"/>
      <c r="AI57" s="11"/>
    </row>
    <row r="58" spans="1:35">
      <c r="A58" s="134">
        <v>2007</v>
      </c>
      <c r="B58" s="479">
        <f t="shared" si="0"/>
        <v>2012</v>
      </c>
      <c r="C58" s="480">
        <f>VLOOKUP($A58,'Brd Tbl'!$A$8:$AX$64,3)</f>
        <v>13.575872974910187</v>
      </c>
      <c r="D58" s="458">
        <f>VLOOKUP($A58,'Brd Tbl'!$A$8:$AX$64,28)</f>
        <v>11.569452927271929</v>
      </c>
      <c r="E58" s="7">
        <v>47</v>
      </c>
      <c r="F58" s="7">
        <v>45</v>
      </c>
      <c r="G58" s="576">
        <v>6.0923156817153261</v>
      </c>
      <c r="H58" s="576">
        <v>0.29502988366513055</v>
      </c>
      <c r="I58" s="579">
        <v>0.23363096484134466</v>
      </c>
      <c r="J58" s="7">
        <v>10.097603906155669</v>
      </c>
      <c r="K58" s="7">
        <v>0.68362424661733456</v>
      </c>
      <c r="L58" s="7">
        <v>3.4224330211774748E-2</v>
      </c>
      <c r="M58" s="576">
        <v>0.48472853865563836</v>
      </c>
      <c r="N58" s="440">
        <f t="shared" si="1"/>
        <v>1.4718490211162596</v>
      </c>
      <c r="O58" s="440">
        <f t="shared" si="2"/>
        <v>2.1663395409608914</v>
      </c>
      <c r="P58" s="465">
        <f t="shared" si="3"/>
        <v>10.097603906155669</v>
      </c>
      <c r="Q58" s="440">
        <f t="shared" si="19"/>
        <v>9.1855512722228116</v>
      </c>
      <c r="R58" s="440">
        <f t="shared" si="5"/>
        <v>11.009656540088526</v>
      </c>
      <c r="S58" s="466">
        <f t="shared" si="20"/>
        <v>81530.816265719768</v>
      </c>
      <c r="T58" s="440">
        <f t="shared" si="7"/>
        <v>6647274000.9545555</v>
      </c>
      <c r="U58" s="466">
        <f t="shared" si="8"/>
        <v>24284.751113437258</v>
      </c>
      <c r="V58" s="467">
        <f t="shared" si="9"/>
        <v>9755.1562682120693</v>
      </c>
      <c r="W58" s="467">
        <f t="shared" si="10"/>
        <v>60455.119367317086</v>
      </c>
      <c r="X58" s="468">
        <f t="shared" si="11"/>
        <v>-0.77049925908897277</v>
      </c>
      <c r="Y58" s="468">
        <f t="shared" si="12"/>
        <v>0.77049925908897277</v>
      </c>
      <c r="Z58" s="471">
        <f t="shared" si="13"/>
        <v>13.575872974910187</v>
      </c>
      <c r="AA58" s="471">
        <f t="shared" si="14"/>
        <v>10.166418005169364</v>
      </c>
      <c r="AB58" s="473">
        <f t="shared" si="15"/>
        <v>11.569452927271929</v>
      </c>
      <c r="AC58" s="976" t="s">
        <v>363</v>
      </c>
      <c r="AD58" s="435">
        <f t="shared" si="17"/>
        <v>9.2543653712365064</v>
      </c>
      <c r="AE58" s="441">
        <f t="shared" si="18"/>
        <v>11.078470639102221</v>
      </c>
      <c r="AH58" s="54"/>
      <c r="AI58" s="11"/>
    </row>
    <row r="59" spans="1:35">
      <c r="A59" s="134">
        <v>2008</v>
      </c>
      <c r="B59" s="479">
        <f t="shared" si="0"/>
        <v>2013</v>
      </c>
      <c r="C59" s="480">
        <f>VLOOKUP($A59,'Brd Tbl'!$A$8:$AX$64,3)</f>
        <v>13.329767714565747</v>
      </c>
      <c r="D59" s="458">
        <f>VLOOKUP($A59,'Brd Tbl'!$A$8:$AX$64,28)</f>
        <v>11.3541796957181</v>
      </c>
      <c r="E59" s="7">
        <v>47</v>
      </c>
      <c r="F59" s="7">
        <v>45</v>
      </c>
      <c r="G59" s="576">
        <v>5.5022014762654141</v>
      </c>
      <c r="H59" s="576">
        <v>0.34033097092713566</v>
      </c>
      <c r="I59" s="579">
        <v>0.2333241617157582</v>
      </c>
      <c r="J59" s="7">
        <v>10.038734264796762</v>
      </c>
      <c r="K59" s="7">
        <v>0.68979279413817041</v>
      </c>
      <c r="L59" s="7">
        <v>4.5144878165771937E-2</v>
      </c>
      <c r="M59" s="576">
        <v>0.49400391863923537</v>
      </c>
      <c r="N59" s="440">
        <f t="shared" si="1"/>
        <v>1.3154454309213381</v>
      </c>
      <c r="O59" s="440">
        <f t="shared" si="2"/>
        <v>1.730396681731825</v>
      </c>
      <c r="P59" s="465">
        <f t="shared" si="3"/>
        <v>10.038734264796762</v>
      </c>
      <c r="Q59" s="440">
        <f t="shared" si="19"/>
        <v>9.1266816308639047</v>
      </c>
      <c r="R59" s="440">
        <f t="shared" si="5"/>
        <v>10.95078689872962</v>
      </c>
      <c r="S59" s="466">
        <f t="shared" si="20"/>
        <v>62424.940635094354</v>
      </c>
      <c r="T59" s="440">
        <f t="shared" si="7"/>
        <v>3896873213.2950544</v>
      </c>
      <c r="U59" s="466">
        <f t="shared" si="8"/>
        <v>22896.383808877021</v>
      </c>
      <c r="V59" s="467">
        <f t="shared" si="9"/>
        <v>9197.4507372639891</v>
      </c>
      <c r="W59" s="467">
        <f t="shared" si="10"/>
        <v>56998.88007003942</v>
      </c>
      <c r="X59" s="468">
        <f t="shared" si="11"/>
        <v>-0.7316452368960521</v>
      </c>
      <c r="Y59" s="468">
        <f t="shared" si="12"/>
        <v>0.7316452368960521</v>
      </c>
      <c r="Z59" s="471">
        <f t="shared" si="13"/>
        <v>13.329767714565747</v>
      </c>
      <c r="AA59" s="471">
        <f t="shared" si="14"/>
        <v>10.07414476273949</v>
      </c>
      <c r="AB59" s="473">
        <f t="shared" si="15"/>
        <v>11.3541796957181</v>
      </c>
      <c r="AC59" s="976" t="s">
        <v>363</v>
      </c>
      <c r="AD59" s="435">
        <f t="shared" si="17"/>
        <v>9.1620921288066324</v>
      </c>
      <c r="AE59" s="441">
        <f t="shared" si="18"/>
        <v>10.986197396672347</v>
      </c>
      <c r="AH59" s="54"/>
      <c r="AI59" s="11"/>
    </row>
    <row r="60" spans="1:35">
      <c r="A60" s="134">
        <v>2009</v>
      </c>
      <c r="B60" s="479">
        <f t="shared" si="0"/>
        <v>2014</v>
      </c>
      <c r="C60" s="480">
        <f>VLOOKUP($A60,'Brd Tbl'!$A$8:$AX$64,3)</f>
        <v>13.312924231110307</v>
      </c>
      <c r="D60" s="458">
        <f>VLOOKUP($A60,'Brd Tbl'!$A$8:$AX$64,28)</f>
        <v>11.392566663424974</v>
      </c>
      <c r="E60" s="7">
        <v>47</v>
      </c>
      <c r="F60" s="7">
        <v>45</v>
      </c>
      <c r="G60" s="576">
        <v>5.4825652915294292</v>
      </c>
      <c r="H60" s="576">
        <v>0.34175892899189675</v>
      </c>
      <c r="I60" s="579">
        <v>0.23257789308381138</v>
      </c>
      <c r="J60" s="7">
        <v>10.032376018503957</v>
      </c>
      <c r="K60" s="7">
        <v>0.68788816188582802</v>
      </c>
      <c r="L60" s="7">
        <v>4.5786346321332667E-2</v>
      </c>
      <c r="M60" s="578">
        <v>0.49145664398394123</v>
      </c>
      <c r="N60" s="475">
        <f t="shared" si="1"/>
        <v>1.3601906449210173</v>
      </c>
      <c r="O60" s="440">
        <f t="shared" si="2"/>
        <v>1.850118590530653</v>
      </c>
      <c r="P60" s="465">
        <f t="shared" si="3"/>
        <v>10.032376018503957</v>
      </c>
      <c r="Q60" s="440">
        <f t="shared" si="19"/>
        <v>9.1203233845710994</v>
      </c>
      <c r="R60" s="440">
        <f t="shared" si="5"/>
        <v>10.944428652436814</v>
      </c>
      <c r="S60" s="466">
        <f>EXP(D60)-$E$60</f>
        <v>88613.226537754323</v>
      </c>
      <c r="T60" s="440">
        <f t="shared" si="7"/>
        <v>7852303917.4313669</v>
      </c>
      <c r="U60" s="466">
        <f t="shared" si="8"/>
        <v>22751.264801498011</v>
      </c>
      <c r="V60" s="467">
        <f t="shared" si="9"/>
        <v>9139.1566008383234</v>
      </c>
      <c r="W60" s="467">
        <f t="shared" si="10"/>
        <v>56637.616869416786</v>
      </c>
      <c r="X60" s="468">
        <f t="shared" si="11"/>
        <v>-0.7433881494560608</v>
      </c>
      <c r="Y60" s="468">
        <f t="shared" si="12"/>
        <v>0.7433881494560608</v>
      </c>
      <c r="Z60" s="471">
        <f t="shared" si="13"/>
        <v>13.312924231110307</v>
      </c>
      <c r="AA60" s="471">
        <f t="shared" si="14"/>
        <v>10.067829567241139</v>
      </c>
      <c r="AB60" s="473">
        <f t="shared" si="15"/>
        <v>11.392566663424974</v>
      </c>
      <c r="AC60" s="976" t="s">
        <v>476</v>
      </c>
      <c r="AD60" s="435">
        <f t="shared" si="17"/>
        <v>9.1557769333082817</v>
      </c>
      <c r="AE60" s="441">
        <f t="shared" si="18"/>
        <v>10.979882201173996</v>
      </c>
      <c r="AH60" s="54"/>
      <c r="AI60" s="11"/>
    </row>
    <row r="61" spans="1:35">
      <c r="A61" s="134"/>
      <c r="E61" s="15"/>
      <c r="F61" s="15"/>
      <c r="G61" s="146"/>
      <c r="H61" s="15"/>
      <c r="I61" s="246"/>
      <c r="J61" s="15"/>
      <c r="K61" s="15"/>
      <c r="L61" s="146"/>
      <c r="M61" s="146"/>
      <c r="V61" s="2"/>
      <c r="W61" s="2"/>
      <c r="X61" s="47"/>
      <c r="Y61" s="468"/>
      <c r="Z61" s="139"/>
      <c r="AA61" s="139"/>
      <c r="AB61" s="139"/>
      <c r="AC61" s="800"/>
      <c r="AD61" s="23"/>
      <c r="AE61" s="47"/>
    </row>
    <row r="62" spans="1:35">
      <c r="A62" s="134">
        <v>2010</v>
      </c>
      <c r="B62" s="440">
        <f>A62+5</f>
        <v>2015</v>
      </c>
      <c r="C62" s="458">
        <f>VLOOKUP($A62,'Brd Tbl'!$A$8:$AX$64,3)</f>
        <v>13.412405662361978</v>
      </c>
      <c r="D62" s="10"/>
      <c r="E62" s="7">
        <v>48</v>
      </c>
      <c r="F62" s="7">
        <v>46</v>
      </c>
      <c r="G62" s="576">
        <v>5.0763609439840023</v>
      </c>
      <c r="H62" s="576">
        <v>0.374934051798539</v>
      </c>
      <c r="I62" s="579">
        <v>0.2389304752313538</v>
      </c>
      <c r="J62" s="7">
        <v>10.105128543339045</v>
      </c>
      <c r="K62" s="7">
        <v>0.70857251710790237</v>
      </c>
      <c r="L62" s="7">
        <v>5.0811421910742234E-2</v>
      </c>
      <c r="M62" s="576">
        <v>0.5197621012036644</v>
      </c>
      <c r="N62" s="440">
        <f>D62-$E$62</f>
        <v>-48</v>
      </c>
      <c r="O62" s="440">
        <f>N62^2</f>
        <v>2304</v>
      </c>
      <c r="P62" s="465">
        <f>J62</f>
        <v>10.105128543339045</v>
      </c>
      <c r="Q62" s="440">
        <f>$P62-(SQRT(O65)*Q65)</f>
        <v>9.1671787300444194</v>
      </c>
      <c r="R62" s="440">
        <f>$P62+SQRT(O65)*Q65</f>
        <v>11.043078356633671</v>
      </c>
      <c r="S62" s="466">
        <f>EXP(D62)-$E$62</f>
        <v>-47</v>
      </c>
      <c r="T62" s="440">
        <f>S62^2</f>
        <v>2209</v>
      </c>
      <c r="U62" s="485">
        <f>EXP(P62)</f>
        <v>24468.174285611916</v>
      </c>
      <c r="V62" s="899">
        <f>EXP(Q62)</f>
        <v>9577.5656393301688</v>
      </c>
      <c r="W62" s="899">
        <f>EXP(R62)</f>
        <v>62509.783322450952</v>
      </c>
      <c r="X62" s="169"/>
      <c r="Y62" s="227"/>
      <c r="Z62" s="471">
        <f>C62</f>
        <v>13.412405662361978</v>
      </c>
      <c r="AA62" s="471">
        <f>(+G62+H62*C62)</f>
        <v>10.105128543339045</v>
      </c>
      <c r="AB62" s="139"/>
      <c r="AC62" s="799" t="s">
        <v>477</v>
      </c>
      <c r="AD62" s="435">
        <f>AA62-SQRT(O65)*Q65</f>
        <v>9.1671787300444194</v>
      </c>
      <c r="AE62" s="441">
        <f>AA62+SQRT(O65)*Q65</f>
        <v>11.043078356633671</v>
      </c>
      <c r="AF62" s="440">
        <f>AA62</f>
        <v>10.105128543339045</v>
      </c>
    </row>
    <row r="63" spans="1:35">
      <c r="A63" s="26"/>
      <c r="B63" s="42"/>
      <c r="C63" s="180"/>
      <c r="D63" s="42"/>
      <c r="E63" s="42"/>
      <c r="F63" s="42"/>
      <c r="G63" s="180"/>
      <c r="H63" s="174"/>
      <c r="I63" s="42"/>
      <c r="J63" s="42"/>
      <c r="K63" s="42"/>
      <c r="L63" s="180"/>
      <c r="M63" s="180"/>
      <c r="N63" s="42"/>
      <c r="O63" s="42"/>
      <c r="P63" s="42"/>
      <c r="Q63" s="42"/>
      <c r="R63" s="42"/>
      <c r="S63" s="42"/>
      <c r="T63" s="42"/>
      <c r="U63" s="42"/>
      <c r="V63" s="105"/>
      <c r="W63" s="105"/>
      <c r="X63" s="49"/>
      <c r="Z63" s="139"/>
      <c r="AA63" s="49"/>
      <c r="AB63" s="49"/>
      <c r="AC63" s="49"/>
      <c r="AD63" s="42"/>
      <c r="AE63" s="49"/>
    </row>
    <row r="64" spans="1:35">
      <c r="A64" s="23"/>
      <c r="E64" s="54" t="s">
        <v>184</v>
      </c>
      <c r="F64" s="440">
        <f>F60</f>
        <v>45</v>
      </c>
      <c r="H64" s="9"/>
      <c r="M64" s="224" t="s">
        <v>185</v>
      </c>
      <c r="O64" s="924">
        <f>AVERAGE(INDEX(O$13:O$61,COUNT(O$13:O$61)-1,0):INDEX(O$13:O$61,(COUNT(O$13:O$61)-(COUNT(O$13:O$61)-1)),0))</f>
        <v>0.49145664398394123</v>
      </c>
      <c r="P64" s="54" t="s">
        <v>186</v>
      </c>
      <c r="Q64" s="440">
        <f>VLOOKUP(F64,ttab!$A$4:$G$44,4)</f>
        <v>1.3009999999999999</v>
      </c>
      <c r="X64" s="47"/>
      <c r="Y64" s="227"/>
      <c r="Z64" s="23"/>
    </row>
    <row r="65" spans="1:26" ht="15.75">
      <c r="A65" s="23"/>
      <c r="E65" s="54" t="s">
        <v>184</v>
      </c>
      <c r="F65" s="440">
        <f>F62</f>
        <v>46</v>
      </c>
      <c r="M65" s="224" t="s">
        <v>188</v>
      </c>
      <c r="O65" s="458">
        <f>AVERAGEA(O13:O61)</f>
        <v>0.5197621012036644</v>
      </c>
      <c r="P65" s="54" t="s">
        <v>186</v>
      </c>
      <c r="Q65" s="440">
        <f>VLOOKUP(F65,ttab!$A$4:$G$44,4)</f>
        <v>1.3009999999999999</v>
      </c>
      <c r="S65" s="54" t="s">
        <v>189</v>
      </c>
      <c r="T65" s="440">
        <f>AVERAGEA(T13:T61)</f>
        <v>701990906.94203341</v>
      </c>
      <c r="W65" t="s">
        <v>190</v>
      </c>
      <c r="X65" s="516">
        <f>AVERAGEA(X13:X61)</f>
        <v>0.27271285595570455</v>
      </c>
      <c r="Y65" s="516">
        <f>AVERAGEA(Y13:Y61)</f>
        <v>0.67979570589797833</v>
      </c>
      <c r="Z65" s="23"/>
    </row>
    <row r="66" spans="1:26">
      <c r="A66" s="42"/>
      <c r="B66" s="42"/>
      <c r="C66" s="42"/>
      <c r="D66" s="42"/>
      <c r="E66" s="42"/>
      <c r="F66" s="42"/>
      <c r="G66" s="180"/>
      <c r="H66" s="42"/>
      <c r="I66" s="42"/>
      <c r="J66" s="42"/>
      <c r="K66" s="42"/>
      <c r="L66" s="180"/>
      <c r="M66" s="180"/>
      <c r="N66" s="42"/>
      <c r="O66" s="42"/>
      <c r="P66" s="42"/>
      <c r="Q66" s="42"/>
      <c r="R66" s="42"/>
      <c r="S66" s="42"/>
      <c r="T66" s="42"/>
      <c r="U66" s="42"/>
      <c r="V66" s="42"/>
      <c r="W66" s="42"/>
      <c r="X66" s="49"/>
      <c r="Y66" s="227"/>
    </row>
    <row r="68" spans="1:26" ht="15" customHeight="1"/>
    <row r="69" spans="1:26" ht="15" customHeight="1"/>
    <row r="70" spans="1:26" ht="15" customHeight="1"/>
    <row r="71" spans="1:26" ht="15" customHeight="1">
      <c r="L71"/>
    </row>
    <row r="72" spans="1:26" ht="15" customHeight="1">
      <c r="L72"/>
    </row>
    <row r="73" spans="1:26" ht="15" customHeight="1">
      <c r="L73"/>
    </row>
    <row r="74" spans="1:26" ht="15" customHeight="1"/>
    <row r="75" spans="1:26" ht="15" customHeight="1"/>
    <row r="76" spans="1:26" ht="15" customHeight="1"/>
    <row r="77" spans="1:26" ht="15" customHeight="1"/>
    <row r="78" spans="1:26" ht="15" customHeight="1"/>
    <row r="79" spans="1:26" ht="15" customHeight="1"/>
    <row r="80" spans="1:26" ht="15" customHeight="1"/>
    <row r="81" ht="15" customHeight="1"/>
    <row r="82" ht="15" customHeight="1"/>
    <row r="83" ht="15" customHeight="1"/>
    <row r="84" ht="15" customHeight="1"/>
    <row r="85" ht="15" customHeight="1"/>
    <row r="86" ht="15" customHeight="1"/>
    <row r="87" ht="15" customHeight="1"/>
    <row r="88" ht="15" customHeight="1"/>
  </sheetData>
  <sortState ref="A13:AE60">
    <sortCondition ref="B13"/>
  </sortState>
  <phoneticPr fontId="60" type="noConversion"/>
  <pageMargins left="0.55000000000000004" right="0.50800000000000001" top="0.5" bottom="1" header="0.5" footer="0.5"/>
  <pageSetup scale="37" orientation="portrait" horizontalDpi="300" verticalDpi="300" r:id="rId1"/>
  <headerFooter alignWithMargins="0"/>
  <rowBreaks count="1" manualBreakCount="1">
    <brk id="88" max="16383" man="1"/>
  </rowBreaks>
  <drawing r:id="rId2"/>
  <legacyDrawing r:id="rId3"/>
  <controls>
    <mc:AlternateContent xmlns:mc="http://schemas.openxmlformats.org/markup-compatibility/2006">
      <mc:Choice Requires="x14">
        <control shapeId="11285" r:id="rId4" name="CommandButton1">
          <controlPr defaultSize="0" autoLine="0" r:id="rId5">
            <anchor moveWithCells="1">
              <from>
                <xdr:col>8</xdr:col>
                <xdr:colOff>0</xdr:colOff>
                <xdr:row>1</xdr:row>
                <xdr:rowOff>180975</xdr:rowOff>
              </from>
              <to>
                <xdr:col>12</xdr:col>
                <xdr:colOff>371475</xdr:colOff>
                <xdr:row>6</xdr:row>
                <xdr:rowOff>19050</xdr:rowOff>
              </to>
            </anchor>
          </controlPr>
        </control>
      </mc:Choice>
      <mc:Fallback>
        <control shapeId="11285" r:id="rId4" name="CommandButton1"/>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15"/>
  <dimension ref="A1:AI88"/>
  <sheetViews>
    <sheetView zoomScale="75" workbookViewId="0">
      <pane ySplit="11" topLeftCell="A41" activePane="bottomLeft" state="frozen"/>
      <selection activeCell="W48" sqref="W48"/>
      <selection pane="bottomLeft" activeCell="M62" sqref="M62"/>
    </sheetView>
  </sheetViews>
  <sheetFormatPr defaultColWidth="9.6640625" defaultRowHeight="15"/>
  <cols>
    <col min="1" max="2" width="6.6640625" customWidth="1"/>
    <col min="5" max="5" width="3.6640625" customWidth="1"/>
    <col min="6" max="6" width="4" customWidth="1"/>
    <col min="7" max="7" width="8.6640625" customWidth="1"/>
    <col min="8" max="8" width="9.109375" customWidth="1"/>
    <col min="9" max="9" width="14.88671875" customWidth="1"/>
    <col min="10" max="12" width="7.6640625" customWidth="1"/>
    <col min="14" max="14" width="10.21875" bestFit="1" customWidth="1"/>
    <col min="15" max="15" width="11.77734375" bestFit="1" customWidth="1"/>
    <col min="16" max="16" width="14" customWidth="1"/>
    <col min="20" max="20" width="12.44140625" bestFit="1" customWidth="1"/>
    <col min="24" max="24" width="10" bestFit="1" customWidth="1"/>
    <col min="25" max="25" width="10" customWidth="1"/>
  </cols>
  <sheetData>
    <row r="1" spans="1:32">
      <c r="A1" t="s">
        <v>0</v>
      </c>
      <c r="B1" s="440" t="str">
        <f ca="1">CELL("filename",B2)</f>
        <v>O:\DCF\SALMON\FORECAST\2015\[2015_Copper River Wild Sockeye forecast_FINAL.xlsm]ln22xln12</v>
      </c>
      <c r="G1" t="s">
        <v>215</v>
      </c>
    </row>
    <row r="2" spans="1:32">
      <c r="G2" s="242" t="s">
        <v>154</v>
      </c>
      <c r="H2" s="148" t="s">
        <v>198</v>
      </c>
    </row>
    <row r="3" spans="1:32">
      <c r="G3" s="242" t="s">
        <v>155</v>
      </c>
      <c r="H3" s="148" t="s">
        <v>214</v>
      </c>
    </row>
    <row r="4" spans="1:32">
      <c r="G4" s="54" t="s">
        <v>253</v>
      </c>
      <c r="H4" s="13">
        <v>5</v>
      </c>
    </row>
    <row r="5" spans="1:32">
      <c r="B5" s="13"/>
    </row>
    <row r="6" spans="1:32">
      <c r="B6" s="13"/>
    </row>
    <row r="8" spans="1:32">
      <c r="AA8" t="s">
        <v>156</v>
      </c>
    </row>
    <row r="9" spans="1:32">
      <c r="A9" s="123"/>
      <c r="B9" s="123"/>
      <c r="C9" s="121" t="s">
        <v>157</v>
      </c>
      <c r="D9" s="126"/>
      <c r="E9" s="121"/>
      <c r="F9" s="119"/>
      <c r="G9" s="119"/>
      <c r="H9" s="119" t="s">
        <v>158</v>
      </c>
      <c r="I9" s="119"/>
      <c r="J9" s="119"/>
      <c r="K9" s="119"/>
      <c r="L9" s="119"/>
      <c r="M9" s="126"/>
      <c r="N9" s="121" t="s">
        <v>159</v>
      </c>
      <c r="O9" s="119"/>
      <c r="P9" s="119"/>
      <c r="Q9" s="119"/>
      <c r="R9" s="126"/>
      <c r="S9" s="121" t="s">
        <v>160</v>
      </c>
      <c r="T9" s="119"/>
      <c r="U9" s="119"/>
      <c r="V9" s="119"/>
      <c r="W9" s="126"/>
      <c r="X9" s="122" t="s">
        <v>109</v>
      </c>
      <c r="Y9" s="415" t="s">
        <v>329</v>
      </c>
      <c r="Z9" s="164" t="s">
        <v>161</v>
      </c>
      <c r="AA9" s="164" t="s">
        <v>162</v>
      </c>
      <c r="AB9" s="164" t="s">
        <v>163</v>
      </c>
      <c r="AC9" s="164" t="s">
        <v>164</v>
      </c>
      <c r="AD9" s="158" t="s">
        <v>25</v>
      </c>
      <c r="AE9" s="159"/>
    </row>
    <row r="10" spans="1:32">
      <c r="A10" s="100" t="s">
        <v>23</v>
      </c>
      <c r="B10" s="139" t="s">
        <v>29</v>
      </c>
      <c r="C10" s="209" t="s">
        <v>165</v>
      </c>
      <c r="D10" s="209" t="s">
        <v>166</v>
      </c>
      <c r="E10" s="123"/>
      <c r="F10" s="123"/>
      <c r="G10" s="123"/>
      <c r="H10" s="123"/>
      <c r="I10" s="209" t="s">
        <v>167</v>
      </c>
      <c r="J10" s="209" t="s">
        <v>168</v>
      </c>
      <c r="K10" s="209" t="s">
        <v>167</v>
      </c>
      <c r="L10" s="123"/>
      <c r="M10" s="226" t="s">
        <v>169</v>
      </c>
      <c r="N10" s="123"/>
      <c r="O10" s="123"/>
      <c r="P10" s="122" t="s">
        <v>24</v>
      </c>
      <c r="Q10" s="122" t="s">
        <v>170</v>
      </c>
      <c r="R10" s="122" t="s">
        <v>171</v>
      </c>
      <c r="S10" s="123"/>
      <c r="T10" s="123"/>
      <c r="U10" s="122" t="s">
        <v>24</v>
      </c>
      <c r="V10" s="122" t="s">
        <v>170</v>
      </c>
      <c r="W10" s="122" t="s">
        <v>171</v>
      </c>
      <c r="X10" s="100" t="s">
        <v>115</v>
      </c>
      <c r="Y10" s="416" t="s">
        <v>323</v>
      </c>
      <c r="Z10" s="139"/>
      <c r="AA10" s="122" t="s">
        <v>172</v>
      </c>
      <c r="AB10" s="122" t="s">
        <v>112</v>
      </c>
      <c r="AC10" s="122" t="s">
        <v>29</v>
      </c>
      <c r="AD10" s="164" t="s">
        <v>173</v>
      </c>
      <c r="AE10" s="164" t="s">
        <v>174</v>
      </c>
    </row>
    <row r="11" spans="1:32" ht="16.899999999999999" customHeight="1">
      <c r="A11" s="125" t="s">
        <v>27</v>
      </c>
      <c r="B11" s="27" t="s">
        <v>27</v>
      </c>
      <c r="C11" s="163" t="s">
        <v>161</v>
      </c>
      <c r="D11" s="214" t="s">
        <v>240</v>
      </c>
      <c r="E11" s="188" t="s">
        <v>175</v>
      </c>
      <c r="F11" s="188" t="s">
        <v>176</v>
      </c>
      <c r="G11" s="214" t="s">
        <v>152</v>
      </c>
      <c r="H11" s="215" t="s">
        <v>177</v>
      </c>
      <c r="I11" s="216" t="s">
        <v>177</v>
      </c>
      <c r="J11" s="214" t="s">
        <v>239</v>
      </c>
      <c r="K11" s="188" t="s">
        <v>168</v>
      </c>
      <c r="L11" s="188" t="s">
        <v>241</v>
      </c>
      <c r="M11" s="217" t="s">
        <v>178</v>
      </c>
      <c r="N11" s="188" t="s">
        <v>242</v>
      </c>
      <c r="O11" s="217" t="s">
        <v>243</v>
      </c>
      <c r="P11" s="214" t="s">
        <v>239</v>
      </c>
      <c r="Q11" s="188" t="s">
        <v>244</v>
      </c>
      <c r="R11" s="188" t="s">
        <v>244</v>
      </c>
      <c r="S11" s="188" t="s">
        <v>242</v>
      </c>
      <c r="T11" s="217" t="s">
        <v>243</v>
      </c>
      <c r="U11" s="214" t="s">
        <v>239</v>
      </c>
      <c r="V11" s="188" t="s">
        <v>244</v>
      </c>
      <c r="W11" s="188" t="s">
        <v>244</v>
      </c>
      <c r="X11" s="234" t="s">
        <v>245</v>
      </c>
      <c r="Y11" s="555" t="s">
        <v>115</v>
      </c>
      <c r="Z11" s="125" t="s">
        <v>200</v>
      </c>
      <c r="AA11" s="125" t="s">
        <v>179</v>
      </c>
      <c r="AB11" s="125" t="s">
        <v>179</v>
      </c>
      <c r="AC11" s="125" t="s">
        <v>27</v>
      </c>
      <c r="AD11" s="164" t="s">
        <v>170</v>
      </c>
      <c r="AE11" s="164" t="s">
        <v>171</v>
      </c>
      <c r="AF11" s="164" t="s">
        <v>111</v>
      </c>
    </row>
    <row r="12" spans="1:32">
      <c r="A12" s="36"/>
      <c r="B12" s="31"/>
      <c r="C12" s="31"/>
      <c r="D12" s="31"/>
      <c r="E12" s="31"/>
      <c r="F12" s="31"/>
      <c r="G12" s="31"/>
      <c r="H12" s="31"/>
      <c r="I12" s="31"/>
      <c r="J12" s="31"/>
      <c r="K12" s="31"/>
      <c r="L12" s="31"/>
      <c r="M12" s="31"/>
      <c r="N12" s="31"/>
      <c r="O12" s="31"/>
      <c r="P12" s="31"/>
      <c r="Q12" s="31"/>
      <c r="R12" s="31"/>
      <c r="S12" s="31"/>
      <c r="T12" s="31"/>
      <c r="U12" s="31"/>
      <c r="V12" s="31"/>
      <c r="W12" s="31"/>
      <c r="X12" s="46"/>
      <c r="Y12" s="46"/>
      <c r="Z12" s="123"/>
      <c r="AA12" s="123"/>
      <c r="AB12" s="123"/>
      <c r="AC12" s="123"/>
      <c r="AD12" s="36"/>
      <c r="AE12" s="46"/>
    </row>
    <row r="13" spans="1:32">
      <c r="A13" s="134">
        <v>1962</v>
      </c>
      <c r="B13" s="440">
        <f t="shared" ref="B13:B60" si="0">A13+$H$4</f>
        <v>1967</v>
      </c>
      <c r="C13" s="458">
        <f>VLOOKUP($A13,'Brd Tbl'!$A$8:$AX$64,17)</f>
        <v>11.536658238263195</v>
      </c>
      <c r="D13" s="458">
        <f>VLOOKUP($A13,'Brd Tbl'!$A$8:$AX$64,28)</f>
        <v>9.1830558095757926</v>
      </c>
      <c r="E13" s="7">
        <v>47</v>
      </c>
      <c r="F13" s="7">
        <v>45</v>
      </c>
      <c r="G13" s="576">
        <v>4.1223964237544344</v>
      </c>
      <c r="H13" s="576">
        <v>0.48072975171753113</v>
      </c>
      <c r="I13" s="577">
        <v>0.14261488567472996</v>
      </c>
      <c r="J13" s="7">
        <v>9.6684112742847113</v>
      </c>
      <c r="K13" s="7">
        <v>0.64805776650728908</v>
      </c>
      <c r="L13" s="7">
        <v>0.20159620942467824</v>
      </c>
      <c r="M13" s="576">
        <v>0.44077726104439463</v>
      </c>
      <c r="N13" s="524">
        <f t="shared" ref="N13:N60" si="1">D13-J13</f>
        <v>-0.48535546470891866</v>
      </c>
      <c r="O13" s="525">
        <f t="shared" ref="O13:O60" si="2">N13^2</f>
        <v>0.23556992712281039</v>
      </c>
      <c r="P13" s="465">
        <f t="shared" ref="P13:P60" si="3">J13</f>
        <v>9.6684112742847113</v>
      </c>
      <c r="Q13" s="440">
        <f t="shared" ref="Q13:Q39" si="4">$P13-SQRT($O$64)*$Q$64</f>
        <v>8.8168692842418146</v>
      </c>
      <c r="R13" s="440">
        <f t="shared" ref="R13:R60" si="5">$P13+SQRT($O$64)*$Q$64</f>
        <v>10.519953264327608</v>
      </c>
      <c r="S13" s="466">
        <f t="shared" ref="S13:S25" si="6">EXP(D13)-U13</f>
        <v>-6079.3679821453061</v>
      </c>
      <c r="T13" s="440">
        <f t="shared" ref="T13:T60" si="7">S13^2</f>
        <v>36958715.062333487</v>
      </c>
      <c r="U13" s="466">
        <f t="shared" ref="U13:U60" si="8">EXP(P13)</f>
        <v>15810.210971331277</v>
      </c>
      <c r="V13" s="467">
        <f t="shared" ref="V13:V60" si="9">EXP(Q13)</f>
        <v>6747.108247134619</v>
      </c>
      <c r="W13" s="467">
        <f t="shared" ref="W13:W60" si="10">EXP(R13)</f>
        <v>37047.393016728129</v>
      </c>
      <c r="X13" s="468">
        <f t="shared" ref="X13:X60" si="11">(+U13-EXP(D13))/(EXP(D13))</f>
        <v>0.62475244836458643</v>
      </c>
      <c r="Y13" s="468">
        <f t="shared" ref="Y13:Y60" si="12">ABS(X13)</f>
        <v>0.62475244836458643</v>
      </c>
      <c r="Z13" s="517">
        <f t="shared" ref="Z13:Z60" si="13">C13</f>
        <v>11.536658238263195</v>
      </c>
      <c r="AA13" s="471">
        <f t="shared" ref="AA13:AA60" si="14">G$62+(H$62*C13)</f>
        <v>9.6475331711783436</v>
      </c>
      <c r="AB13" s="473">
        <f t="shared" ref="AB13:AB60" si="15">D13</f>
        <v>9.1830558095757926</v>
      </c>
      <c r="AC13" s="801">
        <f t="shared" ref="AC13:AC45" si="16">B13-1900</f>
        <v>67</v>
      </c>
      <c r="AD13" s="435">
        <f t="shared" ref="AD13:AD60" si="17">AA13-SQRT($O$64)*$Q$64</f>
        <v>8.7959911811354488</v>
      </c>
      <c r="AE13" s="441">
        <f t="shared" ref="AE13:AE60" si="18">AA13+SQRT($O$64)*$Q$64</f>
        <v>10.499075161221239</v>
      </c>
    </row>
    <row r="14" spans="1:32">
      <c r="A14" s="134">
        <v>1963</v>
      </c>
      <c r="B14" s="440">
        <f t="shared" si="0"/>
        <v>1968</v>
      </c>
      <c r="C14" s="458">
        <f>VLOOKUP($A14,'Brd Tbl'!$A$8:$AX$64,17)</f>
        <v>11.488555614200711</v>
      </c>
      <c r="D14" s="458">
        <f>VLOOKUP($A14,'Brd Tbl'!$A$8:$AX$64,28)</f>
        <v>9.361806906405409</v>
      </c>
      <c r="E14" s="7">
        <v>47</v>
      </c>
      <c r="F14" s="7">
        <v>45</v>
      </c>
      <c r="G14" s="576">
        <v>4.0421603271237458</v>
      </c>
      <c r="H14" s="576">
        <v>0.48693567314566161</v>
      </c>
      <c r="I14" s="577">
        <v>0.14343509378919561</v>
      </c>
      <c r="J14" s="7">
        <v>9.6363478885959388</v>
      </c>
      <c r="K14" s="7">
        <v>0.65068508215053966</v>
      </c>
      <c r="L14" s="7">
        <v>0.20388887154517821</v>
      </c>
      <c r="M14" s="576">
        <v>0.44418571160228126</v>
      </c>
      <c r="N14" s="524">
        <f t="shared" si="1"/>
        <v>-0.2745409821905298</v>
      </c>
      <c r="O14" s="525">
        <f t="shared" si="2"/>
        <v>7.5372750902140809E-2</v>
      </c>
      <c r="P14" s="465">
        <f t="shared" si="3"/>
        <v>9.6363478885959388</v>
      </c>
      <c r="Q14" s="440">
        <f t="shared" si="4"/>
        <v>8.7848058985530422</v>
      </c>
      <c r="R14" s="440">
        <f t="shared" si="5"/>
        <v>10.487889878638835</v>
      </c>
      <c r="S14" s="466">
        <f t="shared" si="6"/>
        <v>-3675.9292137993889</v>
      </c>
      <c r="T14" s="440">
        <f t="shared" si="7"/>
        <v>13512455.584863793</v>
      </c>
      <c r="U14" s="466">
        <f t="shared" si="8"/>
        <v>15311.322840291687</v>
      </c>
      <c r="V14" s="467">
        <f t="shared" si="9"/>
        <v>6534.2045591674905</v>
      </c>
      <c r="W14" s="467">
        <f t="shared" si="10"/>
        <v>35878.369738321591</v>
      </c>
      <c r="X14" s="468">
        <f t="shared" si="11"/>
        <v>0.31592650251468674</v>
      </c>
      <c r="Y14" s="468">
        <f t="shared" si="12"/>
        <v>0.31592650251468674</v>
      </c>
      <c r="Z14" s="517">
        <f t="shared" si="13"/>
        <v>11.488555614200711</v>
      </c>
      <c r="AA14" s="471">
        <f t="shared" si="14"/>
        <v>9.6236523037157511</v>
      </c>
      <c r="AB14" s="473">
        <f t="shared" si="15"/>
        <v>9.361806906405409</v>
      </c>
      <c r="AC14" s="801">
        <f t="shared" si="16"/>
        <v>68</v>
      </c>
      <c r="AD14" s="435">
        <f t="shared" si="17"/>
        <v>8.7721103136728544</v>
      </c>
      <c r="AE14" s="441">
        <f t="shared" si="18"/>
        <v>10.475194293758648</v>
      </c>
    </row>
    <row r="15" spans="1:32">
      <c r="A15" s="134">
        <v>1964</v>
      </c>
      <c r="B15" s="440">
        <f t="shared" si="0"/>
        <v>1969</v>
      </c>
      <c r="C15" s="458">
        <f>VLOOKUP($A15,'Brd Tbl'!$A$8:$AX$64,17)</f>
        <v>12.580110559849002</v>
      </c>
      <c r="D15" s="458">
        <f>VLOOKUP($A15,'Brd Tbl'!$A$8:$AX$64,28)</f>
        <v>10.044501496465394</v>
      </c>
      <c r="E15" s="7">
        <v>47</v>
      </c>
      <c r="F15" s="7">
        <v>45</v>
      </c>
      <c r="G15" s="576">
        <v>3.8968489721670512</v>
      </c>
      <c r="H15" s="576">
        <v>0.49856980392462014</v>
      </c>
      <c r="I15" s="577">
        <v>0.14221606571955953</v>
      </c>
      <c r="J15" s="7">
        <v>10.168912227341011</v>
      </c>
      <c r="K15" s="7">
        <v>0.65165472267499069</v>
      </c>
      <c r="L15" s="7">
        <v>0.21452366755160338</v>
      </c>
      <c r="M15" s="576">
        <v>0.44546006736707133</v>
      </c>
      <c r="N15" s="524">
        <f t="shared" si="1"/>
        <v>-0.12441073087561705</v>
      </c>
      <c r="O15" s="525">
        <f t="shared" si="2"/>
        <v>1.5478029957005214E-2</v>
      </c>
      <c r="P15" s="465">
        <f t="shared" si="3"/>
        <v>10.168912227341011</v>
      </c>
      <c r="Q15" s="440">
        <f t="shared" si="4"/>
        <v>9.317370237298114</v>
      </c>
      <c r="R15" s="440">
        <f t="shared" si="5"/>
        <v>11.020454217383907</v>
      </c>
      <c r="S15" s="466">
        <f t="shared" si="6"/>
        <v>-3050.8784829166289</v>
      </c>
      <c r="T15" s="440">
        <f t="shared" si="7"/>
        <v>9307859.5175236706</v>
      </c>
      <c r="U15" s="466">
        <f t="shared" si="8"/>
        <v>26079.692552527194</v>
      </c>
      <c r="V15" s="467">
        <f t="shared" si="9"/>
        <v>11129.674931154628</v>
      </c>
      <c r="W15" s="467">
        <f t="shared" si="10"/>
        <v>61111.431182094871</v>
      </c>
      <c r="X15" s="468">
        <f t="shared" si="11"/>
        <v>0.13248092036761239</v>
      </c>
      <c r="Y15" s="468">
        <f t="shared" si="12"/>
        <v>0.13248092036761239</v>
      </c>
      <c r="Z15" s="517">
        <f t="shared" si="13"/>
        <v>12.580110559849002</v>
      </c>
      <c r="AA15" s="471">
        <f t="shared" si="14"/>
        <v>10.165562012244436</v>
      </c>
      <c r="AB15" s="473">
        <f t="shared" si="15"/>
        <v>10.044501496465394</v>
      </c>
      <c r="AC15" s="801">
        <f t="shared" si="16"/>
        <v>69</v>
      </c>
      <c r="AD15" s="435">
        <f t="shared" si="17"/>
        <v>9.3140200222015395</v>
      </c>
      <c r="AE15" s="441">
        <f t="shared" si="18"/>
        <v>11.017104002287333</v>
      </c>
    </row>
    <row r="16" spans="1:32">
      <c r="A16" s="134">
        <v>1965</v>
      </c>
      <c r="B16" s="440">
        <f t="shared" si="0"/>
        <v>1970</v>
      </c>
      <c r="C16" s="458">
        <f>VLOOKUP($A16,'Brd Tbl'!$A$8:$AX$64,17)</f>
        <v>12.864569076480791</v>
      </c>
      <c r="D16" s="458">
        <f>VLOOKUP($A16,'Brd Tbl'!$A$8:$AX$64,28)</f>
        <v>10.149185406051224</v>
      </c>
      <c r="E16" s="7">
        <v>47</v>
      </c>
      <c r="F16" s="7">
        <v>45</v>
      </c>
      <c r="G16" s="576">
        <v>3.8623871960300287</v>
      </c>
      <c r="H16" s="576">
        <v>0.50145751820308115</v>
      </c>
      <c r="I16" s="577">
        <v>0.14317190560374332</v>
      </c>
      <c r="J16" s="7">
        <v>10.31342207787419</v>
      </c>
      <c r="K16" s="7">
        <v>0.65147017258296114</v>
      </c>
      <c r="L16" s="7">
        <v>0.21421268429298757</v>
      </c>
      <c r="M16" s="576">
        <v>0.44521547897527392</v>
      </c>
      <c r="N16" s="524">
        <f t="shared" si="1"/>
        <v>-0.16423667182296597</v>
      </c>
      <c r="O16" s="525">
        <f t="shared" si="2"/>
        <v>2.6973684371484626E-2</v>
      </c>
      <c r="P16" s="465">
        <f t="shared" si="3"/>
        <v>10.31342207787419</v>
      </c>
      <c r="Q16" s="440">
        <f t="shared" si="4"/>
        <v>9.4618800878312932</v>
      </c>
      <c r="R16" s="440">
        <f t="shared" si="5"/>
        <v>11.164964067917087</v>
      </c>
      <c r="S16" s="466">
        <f t="shared" si="6"/>
        <v>-4564.1182611075164</v>
      </c>
      <c r="T16" s="440">
        <f t="shared" si="7"/>
        <v>20831175.501375102</v>
      </c>
      <c r="U16" s="466">
        <f t="shared" si="8"/>
        <v>30134.382599150253</v>
      </c>
      <c r="V16" s="467">
        <f t="shared" si="9"/>
        <v>12860.039737971716</v>
      </c>
      <c r="W16" s="467">
        <f t="shared" si="10"/>
        <v>70612.613423789604</v>
      </c>
      <c r="X16" s="468">
        <f t="shared" si="11"/>
        <v>0.17849319822310741</v>
      </c>
      <c r="Y16" s="468">
        <f t="shared" si="12"/>
        <v>0.17849319822310741</v>
      </c>
      <c r="Z16" s="517">
        <f t="shared" si="13"/>
        <v>12.864569076480791</v>
      </c>
      <c r="AA16" s="471">
        <f t="shared" si="14"/>
        <v>10.30678333367309</v>
      </c>
      <c r="AB16" s="473">
        <f t="shared" si="15"/>
        <v>10.149185406051224</v>
      </c>
      <c r="AC16" s="801">
        <f t="shared" si="16"/>
        <v>70</v>
      </c>
      <c r="AD16" s="435">
        <f t="shared" si="17"/>
        <v>9.4552413436301954</v>
      </c>
      <c r="AE16" s="441">
        <f t="shared" si="18"/>
        <v>11.158325323715985</v>
      </c>
    </row>
    <row r="17" spans="1:31">
      <c r="A17" s="134">
        <v>1966</v>
      </c>
      <c r="B17" s="440">
        <f t="shared" si="0"/>
        <v>1971</v>
      </c>
      <c r="C17" s="458">
        <f>VLOOKUP($A17,'Brd Tbl'!$A$8:$AX$64,17)</f>
        <v>12.618710702125638</v>
      </c>
      <c r="D17" s="458">
        <f>VLOOKUP($A17,'Brd Tbl'!$A$8:$AX$64,28)</f>
        <v>9.5831284261943281</v>
      </c>
      <c r="E17" s="7">
        <v>47</v>
      </c>
      <c r="F17" s="7">
        <v>45</v>
      </c>
      <c r="G17" s="576">
        <v>3.7906378753615142</v>
      </c>
      <c r="H17" s="576">
        <v>0.50810382201310744</v>
      </c>
      <c r="I17" s="577">
        <v>0.14097999382213089</v>
      </c>
      <c r="J17" s="7">
        <v>10.202253011989253</v>
      </c>
      <c r="K17" s="7">
        <v>0.64553203375869894</v>
      </c>
      <c r="L17" s="7">
        <v>0.22399645313868061</v>
      </c>
      <c r="M17" s="576">
        <v>0.43763374347816208</v>
      </c>
      <c r="N17" s="524">
        <f t="shared" si="1"/>
        <v>-0.6191245857949248</v>
      </c>
      <c r="O17" s="525">
        <f t="shared" si="2"/>
        <v>0.38331525273573719</v>
      </c>
      <c r="P17" s="465">
        <f t="shared" si="3"/>
        <v>10.202253011989253</v>
      </c>
      <c r="Q17" s="440">
        <f t="shared" si="4"/>
        <v>9.3507110219463563</v>
      </c>
      <c r="R17" s="440">
        <f t="shared" si="5"/>
        <v>11.05379500203215</v>
      </c>
      <c r="S17" s="466">
        <f t="shared" si="6"/>
        <v>-12446.101514571408</v>
      </c>
      <c r="T17" s="440">
        <f t="shared" si="7"/>
        <v>154905442.9110167</v>
      </c>
      <c r="U17" s="466">
        <f t="shared" si="8"/>
        <v>26963.867607514381</v>
      </c>
      <c r="V17" s="467">
        <f t="shared" si="9"/>
        <v>11507.002268293407</v>
      </c>
      <c r="W17" s="467">
        <f t="shared" si="10"/>
        <v>63183.280875757708</v>
      </c>
      <c r="X17" s="468">
        <f t="shared" si="11"/>
        <v>0.85730142191927228</v>
      </c>
      <c r="Y17" s="468">
        <f t="shared" si="12"/>
        <v>0.85730142191927228</v>
      </c>
      <c r="Z17" s="517">
        <f t="shared" si="13"/>
        <v>12.618710702125638</v>
      </c>
      <c r="AA17" s="471">
        <f t="shared" si="14"/>
        <v>10.184725309459743</v>
      </c>
      <c r="AB17" s="473">
        <f t="shared" si="15"/>
        <v>9.5831284261943281</v>
      </c>
      <c r="AC17" s="801">
        <f t="shared" si="16"/>
        <v>71</v>
      </c>
      <c r="AD17" s="435">
        <f t="shared" si="17"/>
        <v>9.3331833194168468</v>
      </c>
      <c r="AE17" s="441">
        <f t="shared" si="18"/>
        <v>11.03626729950264</v>
      </c>
    </row>
    <row r="18" spans="1:31">
      <c r="A18" s="134">
        <v>1967</v>
      </c>
      <c r="B18" s="440">
        <f t="shared" si="0"/>
        <v>1972</v>
      </c>
      <c r="C18" s="458">
        <f>VLOOKUP($A18,'Brd Tbl'!$A$8:$AX$64,17)</f>
        <v>11.485777379207695</v>
      </c>
      <c r="D18" s="458">
        <f>VLOOKUP($A18,'Brd Tbl'!$A$8:$AX$64,28)</f>
        <v>9.0961528771355642</v>
      </c>
      <c r="E18" s="7">
        <v>47</v>
      </c>
      <c r="F18" s="7">
        <v>45</v>
      </c>
      <c r="G18" s="576">
        <v>4.1663071179946662</v>
      </c>
      <c r="H18" s="576">
        <v>0.4772499390667696</v>
      </c>
      <c r="I18" s="577">
        <v>0.14262508196483983</v>
      </c>
      <c r="J18" s="7">
        <v>9.6478936723560196</v>
      </c>
      <c r="K18" s="7">
        <v>0.64694502199465664</v>
      </c>
      <c r="L18" s="7">
        <v>0.19924487614631053</v>
      </c>
      <c r="M18" s="576">
        <v>0.43931241044891178</v>
      </c>
      <c r="N18" s="524">
        <f t="shared" si="1"/>
        <v>-0.55174079522045538</v>
      </c>
      <c r="O18" s="525">
        <f t="shared" si="2"/>
        <v>0.30441790511050049</v>
      </c>
      <c r="P18" s="465">
        <f t="shared" si="3"/>
        <v>9.6478936723560196</v>
      </c>
      <c r="Q18" s="440">
        <f t="shared" si="4"/>
        <v>8.7963516823131229</v>
      </c>
      <c r="R18" s="440">
        <f t="shared" si="5"/>
        <v>10.499435662398916</v>
      </c>
      <c r="S18" s="466">
        <f t="shared" si="6"/>
        <v>-6568.2217627589362</v>
      </c>
      <c r="T18" s="440">
        <f t="shared" si="7"/>
        <v>43141537.124780104</v>
      </c>
      <c r="U18" s="466">
        <f t="shared" si="8"/>
        <v>15489.128540774518</v>
      </c>
      <c r="V18" s="467">
        <f t="shared" si="9"/>
        <v>6610.084274516681</v>
      </c>
      <c r="W18" s="467">
        <f t="shared" si="10"/>
        <v>36295.0142523225</v>
      </c>
      <c r="X18" s="468">
        <f t="shared" si="11"/>
        <v>0.73627288415853276</v>
      </c>
      <c r="Y18" s="468">
        <f t="shared" si="12"/>
        <v>0.73627288415853276</v>
      </c>
      <c r="Z18" s="517">
        <f t="shared" si="13"/>
        <v>11.485777379207695</v>
      </c>
      <c r="AA18" s="471">
        <f t="shared" si="14"/>
        <v>9.6222730304860402</v>
      </c>
      <c r="AB18" s="473">
        <f t="shared" si="15"/>
        <v>9.0961528771355642</v>
      </c>
      <c r="AC18" s="801">
        <f t="shared" si="16"/>
        <v>72</v>
      </c>
      <c r="AD18" s="435">
        <f t="shared" si="17"/>
        <v>8.7707310404431453</v>
      </c>
      <c r="AE18" s="441">
        <f t="shared" si="18"/>
        <v>10.473815020528935</v>
      </c>
    </row>
    <row r="19" spans="1:31">
      <c r="A19" s="134">
        <v>1968</v>
      </c>
      <c r="B19" s="440">
        <f t="shared" si="0"/>
        <v>1973</v>
      </c>
      <c r="C19" s="458">
        <f>VLOOKUP($A19,'Brd Tbl'!$A$8:$AX$64,17)</f>
        <v>11.890550097717687</v>
      </c>
      <c r="D19" s="458">
        <f>VLOOKUP($A19,'Brd Tbl'!$A$8:$AX$64,28)</f>
        <v>9.5747737376572584</v>
      </c>
      <c r="E19" s="7">
        <v>47</v>
      </c>
      <c r="F19" s="7">
        <v>45</v>
      </c>
      <c r="G19" s="576">
        <v>3.9741933526517483</v>
      </c>
      <c r="H19" s="576">
        <v>0.49246388464401802</v>
      </c>
      <c r="I19" s="577">
        <v>0.14196914251773204</v>
      </c>
      <c r="J19" s="7">
        <v>9.8298598443281087</v>
      </c>
      <c r="K19" s="7">
        <v>0.65083039638010987</v>
      </c>
      <c r="L19" s="7">
        <v>0.21097810826993824</v>
      </c>
      <c r="M19" s="576">
        <v>0.44440494200835884</v>
      </c>
      <c r="N19" s="524">
        <f t="shared" si="1"/>
        <v>-0.2550861066708503</v>
      </c>
      <c r="O19" s="525">
        <f t="shared" si="2"/>
        <v>6.5068921816492417E-2</v>
      </c>
      <c r="P19" s="465">
        <f t="shared" si="3"/>
        <v>9.8298598443281087</v>
      </c>
      <c r="Q19" s="440">
        <f t="shared" si="4"/>
        <v>8.978317854285212</v>
      </c>
      <c r="R19" s="440">
        <f t="shared" si="5"/>
        <v>10.681401834371005</v>
      </c>
      <c r="S19" s="466">
        <f t="shared" si="6"/>
        <v>-4183.3699542390605</v>
      </c>
      <c r="T19" s="440">
        <f t="shared" si="7"/>
        <v>17500584.174030118</v>
      </c>
      <c r="U19" s="466">
        <f t="shared" si="8"/>
        <v>18580.349901116639</v>
      </c>
      <c r="V19" s="467">
        <f t="shared" si="9"/>
        <v>7929.2826819195134</v>
      </c>
      <c r="W19" s="467">
        <f t="shared" si="10"/>
        <v>43538.54141625233</v>
      </c>
      <c r="X19" s="468">
        <f t="shared" si="11"/>
        <v>0.29057274301103342</v>
      </c>
      <c r="Y19" s="468">
        <f t="shared" si="12"/>
        <v>0.29057274301103342</v>
      </c>
      <c r="Z19" s="517">
        <f t="shared" si="13"/>
        <v>11.890550097717687</v>
      </c>
      <c r="AA19" s="471">
        <f t="shared" si="14"/>
        <v>9.8232251371872188</v>
      </c>
      <c r="AB19" s="473">
        <f t="shared" si="15"/>
        <v>9.5747737376572584</v>
      </c>
      <c r="AC19" s="801">
        <f t="shared" si="16"/>
        <v>73</v>
      </c>
      <c r="AD19" s="435">
        <f t="shared" si="17"/>
        <v>8.9716831471443221</v>
      </c>
      <c r="AE19" s="441">
        <f t="shared" si="18"/>
        <v>10.674767127230115</v>
      </c>
    </row>
    <row r="20" spans="1:31">
      <c r="A20" s="134">
        <v>1969</v>
      </c>
      <c r="B20" s="440">
        <f t="shared" si="0"/>
        <v>1974</v>
      </c>
      <c r="C20" s="458">
        <f>VLOOKUP($A20,'Brd Tbl'!$A$8:$AX$64,17)</f>
        <v>11.527954939121013</v>
      </c>
      <c r="D20" s="458">
        <f>VLOOKUP($A20,'Brd Tbl'!$A$8:$AX$64,28)</f>
        <v>10.676012017213226</v>
      </c>
      <c r="E20" s="7">
        <v>47</v>
      </c>
      <c r="F20" s="7">
        <v>45</v>
      </c>
      <c r="G20" s="576">
        <v>3.4645191078410305</v>
      </c>
      <c r="H20" s="576">
        <v>0.53189215190838512</v>
      </c>
      <c r="I20" s="577">
        <v>0.13925825666407116</v>
      </c>
      <c r="J20" s="7">
        <v>9.5961478675130039</v>
      </c>
      <c r="K20" s="7">
        <v>0.63261718098376341</v>
      </c>
      <c r="L20" s="7">
        <v>0.24481843716861826</v>
      </c>
      <c r="M20" s="576">
        <v>0.42097860881705484</v>
      </c>
      <c r="N20" s="524">
        <f t="shared" si="1"/>
        <v>1.0798641497002226</v>
      </c>
      <c r="O20" s="525">
        <f t="shared" si="2"/>
        <v>1.1661065818077847</v>
      </c>
      <c r="P20" s="465">
        <f t="shared" si="3"/>
        <v>9.5961478675130039</v>
      </c>
      <c r="Q20" s="440">
        <f t="shared" si="4"/>
        <v>8.7446058774701072</v>
      </c>
      <c r="R20" s="440">
        <f t="shared" si="5"/>
        <v>10.447689857555901</v>
      </c>
      <c r="S20" s="466">
        <f t="shared" si="6"/>
        <v>28596.492827121616</v>
      </c>
      <c r="T20" s="440">
        <f t="shared" si="7"/>
        <v>817759402.01161802</v>
      </c>
      <c r="U20" s="466">
        <f t="shared" si="8"/>
        <v>14708.015077058528</v>
      </c>
      <c r="V20" s="467">
        <f t="shared" si="9"/>
        <v>6276.7391279817848</v>
      </c>
      <c r="W20" s="467">
        <f t="shared" si="10"/>
        <v>34464.664389602905</v>
      </c>
      <c r="X20" s="468">
        <f t="shared" si="11"/>
        <v>-0.66035833706728775</v>
      </c>
      <c r="Y20" s="468">
        <f t="shared" si="12"/>
        <v>0.66035833706728775</v>
      </c>
      <c r="Z20" s="517">
        <f t="shared" si="13"/>
        <v>11.527954939121013</v>
      </c>
      <c r="AA20" s="471">
        <f t="shared" si="14"/>
        <v>9.6432123604668156</v>
      </c>
      <c r="AB20" s="473">
        <f t="shared" si="15"/>
        <v>10.676012017213226</v>
      </c>
      <c r="AC20" s="801">
        <f t="shared" si="16"/>
        <v>74</v>
      </c>
      <c r="AD20" s="435">
        <f t="shared" si="17"/>
        <v>8.791670370423919</v>
      </c>
      <c r="AE20" s="441">
        <f t="shared" si="18"/>
        <v>10.494754350509712</v>
      </c>
    </row>
    <row r="21" spans="1:31">
      <c r="A21" s="134">
        <v>1970</v>
      </c>
      <c r="B21" s="440">
        <f t="shared" si="0"/>
        <v>1975</v>
      </c>
      <c r="C21" s="458">
        <f>VLOOKUP($A21,'Brd Tbl'!$A$8:$AX$64,17)</f>
        <v>11.337791564019003</v>
      </c>
      <c r="D21" s="458">
        <f>VLOOKUP($A21,'Brd Tbl'!$A$8:$AX$64,28)</f>
        <v>9.6307284205651111</v>
      </c>
      <c r="E21" s="7">
        <v>47</v>
      </c>
      <c r="F21" s="7">
        <v>45</v>
      </c>
      <c r="G21" s="576">
        <v>3.8738377101293588</v>
      </c>
      <c r="H21" s="576">
        <v>0.50009239494381785</v>
      </c>
      <c r="I21" s="577">
        <v>0.1445553021265675</v>
      </c>
      <c r="J21" s="7">
        <v>9.5437810467534376</v>
      </c>
      <c r="K21" s="7">
        <v>0.65179005903981968</v>
      </c>
      <c r="L21" s="7">
        <v>0.21008700644744344</v>
      </c>
      <c r="M21" s="576">
        <v>0.44562853937014074</v>
      </c>
      <c r="N21" s="524">
        <f t="shared" si="1"/>
        <v>8.6947373811673501E-2</v>
      </c>
      <c r="O21" s="525">
        <f t="shared" si="2"/>
        <v>7.5598458127468871E-3</v>
      </c>
      <c r="P21" s="465">
        <f t="shared" si="3"/>
        <v>9.5437810467534376</v>
      </c>
      <c r="Q21" s="440">
        <f t="shared" si="4"/>
        <v>8.692239056710541</v>
      </c>
      <c r="R21" s="440">
        <f t="shared" si="5"/>
        <v>10.395323036796334</v>
      </c>
      <c r="S21" s="466">
        <f t="shared" si="6"/>
        <v>1267.900250778097</v>
      </c>
      <c r="T21" s="440">
        <f t="shared" si="7"/>
        <v>1607571.0459231611</v>
      </c>
      <c r="U21" s="466">
        <f t="shared" si="8"/>
        <v>13957.622401794935</v>
      </c>
      <c r="V21" s="467">
        <f t="shared" si="9"/>
        <v>5956.5042736182895</v>
      </c>
      <c r="W21" s="467">
        <f t="shared" si="10"/>
        <v>32706.301240131055</v>
      </c>
      <c r="X21" s="468">
        <f t="shared" si="11"/>
        <v>-8.3274661875980233E-2</v>
      </c>
      <c r="Y21" s="468">
        <f t="shared" si="12"/>
        <v>8.3274661875980233E-2</v>
      </c>
      <c r="Z21" s="517">
        <f t="shared" si="13"/>
        <v>11.337791564019003</v>
      </c>
      <c r="AA21" s="471">
        <f t="shared" si="14"/>
        <v>9.5488044888473453</v>
      </c>
      <c r="AB21" s="473">
        <f t="shared" si="15"/>
        <v>9.6307284205651111</v>
      </c>
      <c r="AC21" s="801">
        <f t="shared" si="16"/>
        <v>75</v>
      </c>
      <c r="AD21" s="435">
        <f t="shared" si="17"/>
        <v>8.6972624988044487</v>
      </c>
      <c r="AE21" s="441">
        <f t="shared" si="18"/>
        <v>10.400346478890242</v>
      </c>
    </row>
    <row r="22" spans="1:31">
      <c r="A22" s="134">
        <v>1971</v>
      </c>
      <c r="B22" s="440">
        <f t="shared" si="0"/>
        <v>1976</v>
      </c>
      <c r="C22" s="458">
        <f>VLOOKUP($A22,'Brd Tbl'!$A$8:$AX$64,17)</f>
        <v>10.786199106171235</v>
      </c>
      <c r="D22" s="458">
        <f>VLOOKUP($A22,'Brd Tbl'!$A$8:$AX$64,28)</f>
        <v>9.1792713306598923</v>
      </c>
      <c r="E22" s="7">
        <v>47</v>
      </c>
      <c r="F22" s="7">
        <v>45</v>
      </c>
      <c r="G22" s="576">
        <v>4.012436201397457</v>
      </c>
      <c r="H22" s="576">
        <v>0.48908484685034287</v>
      </c>
      <c r="I22" s="577">
        <v>0.14942227831629437</v>
      </c>
      <c r="J22" s="7">
        <v>9.2878027393365201</v>
      </c>
      <c r="K22" s="7">
        <v>0.65173444139267944</v>
      </c>
      <c r="L22" s="7">
        <v>0.19229856646908638</v>
      </c>
      <c r="M22" s="576">
        <v>0.44553876871361764</v>
      </c>
      <c r="N22" s="524">
        <f t="shared" si="1"/>
        <v>-0.10853140867662781</v>
      </c>
      <c r="O22" s="525">
        <f t="shared" si="2"/>
        <v>1.1779066669333201E-2</v>
      </c>
      <c r="P22" s="465">
        <f t="shared" si="3"/>
        <v>9.2878027393365201</v>
      </c>
      <c r="Q22" s="440">
        <f t="shared" si="4"/>
        <v>8.4362607492936235</v>
      </c>
      <c r="R22" s="440">
        <f t="shared" si="5"/>
        <v>10.139344729379417</v>
      </c>
      <c r="S22" s="466">
        <f t="shared" si="6"/>
        <v>-1111.3292654504148</v>
      </c>
      <c r="T22" s="440">
        <f t="shared" si="7"/>
        <v>1235052.7362465586</v>
      </c>
      <c r="U22" s="466">
        <f t="shared" si="8"/>
        <v>10805.41568061939</v>
      </c>
      <c r="V22" s="467">
        <f t="shared" si="9"/>
        <v>4611.2799749873257</v>
      </c>
      <c r="W22" s="467">
        <f t="shared" si="10"/>
        <v>25319.869681366792</v>
      </c>
      <c r="X22" s="468">
        <f t="shared" si="11"/>
        <v>0.11463991735326856</v>
      </c>
      <c r="Y22" s="468">
        <f t="shared" si="12"/>
        <v>0.11463991735326856</v>
      </c>
      <c r="Z22" s="517">
        <f t="shared" si="13"/>
        <v>10.786199106171235</v>
      </c>
      <c r="AA22" s="471">
        <f t="shared" si="14"/>
        <v>9.2749627466147775</v>
      </c>
      <c r="AB22" s="473">
        <f t="shared" si="15"/>
        <v>9.1792713306598923</v>
      </c>
      <c r="AC22" s="801">
        <f t="shared" si="16"/>
        <v>76</v>
      </c>
      <c r="AD22" s="435">
        <f t="shared" si="17"/>
        <v>8.4234207565718826</v>
      </c>
      <c r="AE22" s="441">
        <f t="shared" si="18"/>
        <v>10.126504736657672</v>
      </c>
    </row>
    <row r="23" spans="1:31">
      <c r="A23" s="178">
        <v>1972</v>
      </c>
      <c r="B23" s="440">
        <f t="shared" si="0"/>
        <v>1977</v>
      </c>
      <c r="C23" s="458">
        <f>VLOOKUP($A23,'Brd Tbl'!$A$8:$AX$64,17)</f>
        <v>11.849668897253039</v>
      </c>
      <c r="D23" s="458">
        <f>VLOOKUP($A23,'Brd Tbl'!$A$8:$AX$64,28)</f>
        <v>8.8702652307234988</v>
      </c>
      <c r="E23" s="7">
        <v>47</v>
      </c>
      <c r="F23" s="7">
        <v>45</v>
      </c>
      <c r="G23" s="576">
        <v>4.1461695619705052</v>
      </c>
      <c r="H23" s="576">
        <v>0.47959177842840167</v>
      </c>
      <c r="I23" s="577">
        <v>0.1389370668427263</v>
      </c>
      <c r="J23" s="7">
        <v>9.8291733421918082</v>
      </c>
      <c r="K23" s="7">
        <v>0.63648595144871456</v>
      </c>
      <c r="L23" s="7">
        <v>0.20935228794017305</v>
      </c>
      <c r="M23" s="576">
        <v>0.426225455956801</v>
      </c>
      <c r="N23" s="524">
        <f t="shared" si="1"/>
        <v>-0.95890811146830934</v>
      </c>
      <c r="O23" s="525">
        <f t="shared" si="2"/>
        <v>0.91950476623971955</v>
      </c>
      <c r="P23" s="465">
        <f t="shared" si="3"/>
        <v>9.8291733421918082</v>
      </c>
      <c r="Q23" s="440">
        <f t="shared" si="4"/>
        <v>8.9776313521489115</v>
      </c>
      <c r="R23" s="440">
        <f t="shared" si="5"/>
        <v>10.680715332234705</v>
      </c>
      <c r="S23" s="466">
        <f t="shared" si="6"/>
        <v>-11450.430413953523</v>
      </c>
      <c r="T23" s="440">
        <f t="shared" si="7"/>
        <v>131112356.66479185</v>
      </c>
      <c r="U23" s="466">
        <f t="shared" si="8"/>
        <v>18567.598828536378</v>
      </c>
      <c r="V23" s="467">
        <f t="shared" si="9"/>
        <v>7923.841080468268</v>
      </c>
      <c r="W23" s="467">
        <f t="shared" si="10"/>
        <v>43508.662371746068</v>
      </c>
      <c r="X23" s="468">
        <f t="shared" si="11"/>
        <v>1.6088463482881692</v>
      </c>
      <c r="Y23" s="468">
        <f t="shared" si="12"/>
        <v>1.6088463482881692</v>
      </c>
      <c r="Z23" s="517">
        <f t="shared" si="13"/>
        <v>11.849668897253039</v>
      </c>
      <c r="AA23" s="471">
        <f t="shared" si="14"/>
        <v>9.8029293934718673</v>
      </c>
      <c r="AB23" s="473">
        <f t="shared" si="15"/>
        <v>8.8702652307234988</v>
      </c>
      <c r="AC23" s="801">
        <f t="shared" si="16"/>
        <v>77</v>
      </c>
      <c r="AD23" s="435">
        <f t="shared" si="17"/>
        <v>8.9513874034289707</v>
      </c>
      <c r="AE23" s="441">
        <f t="shared" si="18"/>
        <v>10.654471383514764</v>
      </c>
    </row>
    <row r="24" spans="1:31">
      <c r="A24" s="134">
        <v>1973</v>
      </c>
      <c r="B24" s="440">
        <f t="shared" si="0"/>
        <v>1978</v>
      </c>
      <c r="C24" s="458">
        <f>VLOOKUP($A24,'Brd Tbl'!$A$8:$AX$64,17)</f>
        <v>10.319922690953129</v>
      </c>
      <c r="D24" s="458">
        <f>VLOOKUP($A24,'Brd Tbl'!$A$8:$AX$64,28)</f>
        <v>9.8369599134965462</v>
      </c>
      <c r="E24" s="7">
        <v>47</v>
      </c>
      <c r="F24" s="7">
        <v>45</v>
      </c>
      <c r="G24" s="576">
        <v>2.8196419282171936</v>
      </c>
      <c r="H24" s="576">
        <v>0.58482591571484099</v>
      </c>
      <c r="I24" s="577">
        <v>0.15291066758197458</v>
      </c>
      <c r="J24" s="7">
        <v>8.8550001660602238</v>
      </c>
      <c r="K24" s="7">
        <v>0.63849331612470595</v>
      </c>
      <c r="L24" s="7">
        <v>0.24531787759031035</v>
      </c>
      <c r="M24" s="576">
        <v>0.42527353724732253</v>
      </c>
      <c r="N24" s="524">
        <f t="shared" si="1"/>
        <v>0.98195974743632242</v>
      </c>
      <c r="O24" s="525">
        <f t="shared" si="2"/>
        <v>0.96424494558520613</v>
      </c>
      <c r="P24" s="465">
        <f t="shared" si="3"/>
        <v>8.8550001660602238</v>
      </c>
      <c r="Q24" s="440">
        <f t="shared" si="4"/>
        <v>8.0034581760173289</v>
      </c>
      <c r="R24" s="440">
        <f t="shared" si="5"/>
        <v>9.7065421561031187</v>
      </c>
      <c r="S24" s="466">
        <f t="shared" si="6"/>
        <v>11703.391703512814</v>
      </c>
      <c r="T24" s="440">
        <f t="shared" si="7"/>
        <v>136969377.36585256</v>
      </c>
      <c r="U24" s="466">
        <f t="shared" si="8"/>
        <v>7009.3494042740849</v>
      </c>
      <c r="V24" s="467">
        <f t="shared" si="9"/>
        <v>2991.2845096363485</v>
      </c>
      <c r="W24" s="467">
        <f t="shared" si="10"/>
        <v>16424.709489492972</v>
      </c>
      <c r="X24" s="468">
        <f t="shared" si="11"/>
        <v>-0.62542369587118918</v>
      </c>
      <c r="Y24" s="468">
        <f t="shared" si="12"/>
        <v>0.62542369587118918</v>
      </c>
      <c r="Z24" s="517">
        <f t="shared" si="13"/>
        <v>10.319922690953129</v>
      </c>
      <c r="AA24" s="471">
        <f t="shared" si="14"/>
        <v>9.0434767208567486</v>
      </c>
      <c r="AB24" s="473">
        <f t="shared" si="15"/>
        <v>9.8369599134965462</v>
      </c>
      <c r="AC24" s="801">
        <f t="shared" si="16"/>
        <v>78</v>
      </c>
      <c r="AD24" s="435">
        <f t="shared" si="17"/>
        <v>8.1919347308138519</v>
      </c>
      <c r="AE24" s="441">
        <f t="shared" si="18"/>
        <v>9.8950187108996452</v>
      </c>
    </row>
    <row r="25" spans="1:31">
      <c r="A25" s="134">
        <v>1974</v>
      </c>
      <c r="B25" s="440">
        <f t="shared" si="0"/>
        <v>1979</v>
      </c>
      <c r="C25" s="458">
        <f>VLOOKUP($A25,'Brd Tbl'!$A$8:$AX$64,17)</f>
        <v>11.947676971583181</v>
      </c>
      <c r="D25" s="458">
        <f>VLOOKUP($A25,'Brd Tbl'!$A$8:$AX$64,28)</f>
        <v>9.8545823392586307</v>
      </c>
      <c r="E25" s="7">
        <v>47</v>
      </c>
      <c r="F25" s="7">
        <v>45</v>
      </c>
      <c r="G25" s="576">
        <v>3.9195325314480725</v>
      </c>
      <c r="H25" s="576">
        <v>0.49649641323729138</v>
      </c>
      <c r="I25" s="577">
        <v>0.14208580279417798</v>
      </c>
      <c r="J25" s="7">
        <v>9.8515112943569054</v>
      </c>
      <c r="K25" s="7">
        <v>0.65191131839188332</v>
      </c>
      <c r="L25" s="7">
        <v>0.2134301005676312</v>
      </c>
      <c r="M25" s="576">
        <v>0.44578918648707616</v>
      </c>
      <c r="N25" s="524">
        <f t="shared" si="1"/>
        <v>3.0710449017252728E-3</v>
      </c>
      <c r="O25" s="525">
        <f t="shared" si="2"/>
        <v>9.4313167884127898E-6</v>
      </c>
      <c r="P25" s="465">
        <f t="shared" si="3"/>
        <v>9.8515112943569054</v>
      </c>
      <c r="Q25" s="440">
        <f t="shared" si="4"/>
        <v>8.9999693043140105</v>
      </c>
      <c r="R25" s="440">
        <f t="shared" si="5"/>
        <v>10.7030532843998</v>
      </c>
      <c r="S25" s="466">
        <f t="shared" si="6"/>
        <v>58.399643966728036</v>
      </c>
      <c r="T25" s="440">
        <f t="shared" si="7"/>
        <v>3410.5184154405943</v>
      </c>
      <c r="U25" s="466">
        <f t="shared" si="8"/>
        <v>18987.028118125261</v>
      </c>
      <c r="V25" s="467">
        <f t="shared" si="9"/>
        <v>8102.8352016730223</v>
      </c>
      <c r="W25" s="467">
        <f t="shared" si="10"/>
        <v>44491.493136136356</v>
      </c>
      <c r="X25" s="468">
        <f t="shared" si="11"/>
        <v>-3.0663340669599796E-3</v>
      </c>
      <c r="Y25" s="468">
        <f t="shared" si="12"/>
        <v>3.0663340669599796E-3</v>
      </c>
      <c r="Z25" s="517">
        <f t="shared" si="13"/>
        <v>11.947676971583181</v>
      </c>
      <c r="AA25" s="471">
        <f t="shared" si="14"/>
        <v>9.8515861534503237</v>
      </c>
      <c r="AB25" s="473">
        <f t="shared" si="15"/>
        <v>9.8545823392586307</v>
      </c>
      <c r="AC25" s="801">
        <f t="shared" si="16"/>
        <v>79</v>
      </c>
      <c r="AD25" s="435">
        <f t="shared" si="17"/>
        <v>9.0000441634074271</v>
      </c>
      <c r="AE25" s="441">
        <f t="shared" si="18"/>
        <v>10.70312814349322</v>
      </c>
    </row>
    <row r="26" spans="1:31">
      <c r="A26" s="134">
        <v>1975</v>
      </c>
      <c r="B26" s="440">
        <f t="shared" si="0"/>
        <v>1980</v>
      </c>
      <c r="C26" s="458">
        <f>VLOOKUP($A26,'Brd Tbl'!$A$8:$AX$64,17)</f>
        <v>11.137836486346464</v>
      </c>
      <c r="D26" s="458">
        <f>VLOOKUP($A26,'Brd Tbl'!$A$8:$AX$64,28)</f>
        <v>10.311052429506699</v>
      </c>
      <c r="E26" s="7">
        <v>47</v>
      </c>
      <c r="F26" s="7">
        <v>45</v>
      </c>
      <c r="G26" s="576">
        <v>3.3160799422492113</v>
      </c>
      <c r="H26" s="576">
        <v>0.5442888842931628</v>
      </c>
      <c r="I26" s="577">
        <v>0.14293094004179757</v>
      </c>
      <c r="J26" s="7">
        <v>9.3782805368424089</v>
      </c>
      <c r="K26" s="7">
        <v>0.63806803722299754</v>
      </c>
      <c r="L26" s="7">
        <v>0.24371378763454818</v>
      </c>
      <c r="M26" s="576">
        <v>0.4272773998396775</v>
      </c>
      <c r="N26" s="524">
        <f t="shared" si="1"/>
        <v>0.93277189266428984</v>
      </c>
      <c r="O26" s="525">
        <f t="shared" si="2"/>
        <v>0.8700634037445214</v>
      </c>
      <c r="P26" s="465">
        <f t="shared" si="3"/>
        <v>9.3782805368424089</v>
      </c>
      <c r="Q26" s="440">
        <f t="shared" si="4"/>
        <v>8.526738546799514</v>
      </c>
      <c r="R26" s="440">
        <f t="shared" si="5"/>
        <v>10.229822526885304</v>
      </c>
      <c r="S26" s="466">
        <f>EXP(D26)*C26-U26</f>
        <v>323008.77986344678</v>
      </c>
      <c r="T26" s="440">
        <f t="shared" si="7"/>
        <v>104334671868.87262</v>
      </c>
      <c r="U26" s="466">
        <f t="shared" si="8"/>
        <v>11828.65831595025</v>
      </c>
      <c r="V26" s="467">
        <f t="shared" si="9"/>
        <v>5047.9552879341081</v>
      </c>
      <c r="W26" s="467">
        <f t="shared" si="10"/>
        <v>27717.590504404117</v>
      </c>
      <c r="X26" s="468">
        <f t="shared" si="11"/>
        <v>-0.60653843580857181</v>
      </c>
      <c r="Y26" s="468">
        <f t="shared" si="12"/>
        <v>0.60653843580857181</v>
      </c>
      <c r="Z26" s="517">
        <f t="shared" si="13"/>
        <v>11.137836486346464</v>
      </c>
      <c r="AA26" s="471">
        <f t="shared" si="14"/>
        <v>9.4495354613995328</v>
      </c>
      <c r="AB26" s="473">
        <f t="shared" si="15"/>
        <v>10.311052429506699</v>
      </c>
      <c r="AC26" s="801">
        <f t="shared" si="16"/>
        <v>80</v>
      </c>
      <c r="AD26" s="435">
        <f t="shared" si="17"/>
        <v>8.5979934713566379</v>
      </c>
      <c r="AE26" s="441">
        <f t="shared" si="18"/>
        <v>10.301077451442428</v>
      </c>
    </row>
    <row r="27" spans="1:31">
      <c r="A27" s="134">
        <v>1976</v>
      </c>
      <c r="B27" s="440">
        <f t="shared" si="0"/>
        <v>1981</v>
      </c>
      <c r="C27" s="458">
        <f>VLOOKUP($A27,'Brd Tbl'!$A$8:$AX$64,17)</f>
        <v>12.065175246038875</v>
      </c>
      <c r="D27" s="458">
        <f>VLOOKUP($A27,'Brd Tbl'!$A$8:$AX$64,28)</f>
        <v>9.3922568166298035</v>
      </c>
      <c r="E27" s="7">
        <v>47</v>
      </c>
      <c r="F27" s="7">
        <v>45</v>
      </c>
      <c r="G27" s="576">
        <v>3.9788960544376843</v>
      </c>
      <c r="H27" s="576">
        <v>0.49254653386549346</v>
      </c>
      <c r="I27" s="577">
        <v>0.14089189921874248</v>
      </c>
      <c r="J27" s="7">
        <v>9.9215563023538849</v>
      </c>
      <c r="K27" s="7">
        <v>0.64722462897931188</v>
      </c>
      <c r="L27" s="7">
        <v>0.21358152434082261</v>
      </c>
      <c r="M27" s="576">
        <v>0.43982857980045925</v>
      </c>
      <c r="N27" s="524">
        <f t="shared" si="1"/>
        <v>-0.52929948572408136</v>
      </c>
      <c r="O27" s="525">
        <f t="shared" si="2"/>
        <v>0.28015794558777701</v>
      </c>
      <c r="P27" s="465">
        <f t="shared" si="3"/>
        <v>9.9215563023538849</v>
      </c>
      <c r="Q27" s="440">
        <f t="shared" si="4"/>
        <v>9.0700143123109882</v>
      </c>
      <c r="R27" s="440">
        <f t="shared" si="5"/>
        <v>10.773098292396782</v>
      </c>
      <c r="S27" s="466">
        <f t="shared" ref="S27:S59" si="19">EXP(D27)-U27</f>
        <v>-8369.51990742419</v>
      </c>
      <c r="T27" s="440">
        <f t="shared" si="7"/>
        <v>70048863.480769828</v>
      </c>
      <c r="U27" s="466">
        <f t="shared" si="8"/>
        <v>20364.659546302304</v>
      </c>
      <c r="V27" s="467">
        <f t="shared" si="9"/>
        <v>8690.7481895148449</v>
      </c>
      <c r="W27" s="467">
        <f t="shared" si="10"/>
        <v>47719.638101717101</v>
      </c>
      <c r="X27" s="468">
        <f t="shared" si="11"/>
        <v>0.69774259903546876</v>
      </c>
      <c r="Y27" s="468">
        <f t="shared" si="12"/>
        <v>0.69774259903546876</v>
      </c>
      <c r="Z27" s="517">
        <f t="shared" si="13"/>
        <v>12.065175246038875</v>
      </c>
      <c r="AA27" s="471">
        <f t="shared" si="14"/>
        <v>9.9099189528359659</v>
      </c>
      <c r="AB27" s="473">
        <f t="shared" si="15"/>
        <v>9.3922568166298035</v>
      </c>
      <c r="AC27" s="801">
        <f t="shared" si="16"/>
        <v>81</v>
      </c>
      <c r="AD27" s="435">
        <f t="shared" si="17"/>
        <v>9.0583769627930693</v>
      </c>
      <c r="AE27" s="441">
        <f t="shared" si="18"/>
        <v>10.761460942878863</v>
      </c>
    </row>
    <row r="28" spans="1:31">
      <c r="A28" s="134">
        <v>1977</v>
      </c>
      <c r="B28" s="440">
        <f t="shared" si="0"/>
        <v>1982</v>
      </c>
      <c r="C28" s="458">
        <f>VLOOKUP($A28,'Brd Tbl'!$A$8:$AX$64,17)</f>
        <v>11.814132726468909</v>
      </c>
      <c r="D28" s="458">
        <f>VLOOKUP($A28,'Brd Tbl'!$A$8:$AX$64,28)</f>
        <v>10.156317736267425</v>
      </c>
      <c r="E28" s="7">
        <v>47</v>
      </c>
      <c r="F28" s="7">
        <v>45</v>
      </c>
      <c r="G28" s="576">
        <v>3.8221676886345799</v>
      </c>
      <c r="H28" s="576">
        <v>0.50381733251409622</v>
      </c>
      <c r="I28" s="577">
        <v>0.1418715482995159</v>
      </c>
      <c r="J28" s="7">
        <v>9.7743325248516335</v>
      </c>
      <c r="K28" s="7">
        <v>0.64949138306440901</v>
      </c>
      <c r="L28" s="7">
        <v>0.21890155672469666</v>
      </c>
      <c r="M28" s="576">
        <v>0.4426848615844467</v>
      </c>
      <c r="N28" s="524">
        <f t="shared" si="1"/>
        <v>0.38198521141579178</v>
      </c>
      <c r="O28" s="525">
        <f t="shared" si="2"/>
        <v>0.14591270174036713</v>
      </c>
      <c r="P28" s="465">
        <f t="shared" si="3"/>
        <v>9.7743325248516335</v>
      </c>
      <c r="Q28" s="440">
        <f t="shared" si="4"/>
        <v>8.9227905348087369</v>
      </c>
      <c r="R28" s="440">
        <f t="shared" si="5"/>
        <v>10.62587451489453</v>
      </c>
      <c r="S28" s="466">
        <f t="shared" si="19"/>
        <v>8176.5376212363335</v>
      </c>
      <c r="T28" s="440">
        <f t="shared" si="7"/>
        <v>66855767.471493118</v>
      </c>
      <c r="U28" s="466">
        <f t="shared" si="8"/>
        <v>17576.754216177495</v>
      </c>
      <c r="V28" s="467">
        <f t="shared" si="9"/>
        <v>7500.9918302085425</v>
      </c>
      <c r="W28" s="467">
        <f t="shared" si="10"/>
        <v>41186.858454067151</v>
      </c>
      <c r="X28" s="468">
        <f t="shared" si="11"/>
        <v>-0.31749485358441193</v>
      </c>
      <c r="Y28" s="468">
        <f t="shared" si="12"/>
        <v>0.31749485358441193</v>
      </c>
      <c r="Z28" s="517">
        <f t="shared" si="13"/>
        <v>11.814132726468909</v>
      </c>
      <c r="AA28" s="471">
        <f t="shared" si="14"/>
        <v>9.7852872252707819</v>
      </c>
      <c r="AB28" s="473">
        <f t="shared" si="15"/>
        <v>10.156317736267425</v>
      </c>
      <c r="AC28" s="801">
        <f t="shared" si="16"/>
        <v>82</v>
      </c>
      <c r="AD28" s="435">
        <f t="shared" si="17"/>
        <v>8.9337452352278852</v>
      </c>
      <c r="AE28" s="441">
        <f t="shared" si="18"/>
        <v>10.636829215313679</v>
      </c>
    </row>
    <row r="29" spans="1:31">
      <c r="A29" s="134">
        <v>1978</v>
      </c>
      <c r="B29" s="440">
        <f t="shared" si="0"/>
        <v>1983</v>
      </c>
      <c r="C29" s="458">
        <f>VLOOKUP($A29,'Brd Tbl'!$A$8:$AX$64,17)</f>
        <v>12.793846775642196</v>
      </c>
      <c r="D29" s="458">
        <f>VLOOKUP($A29,'Brd Tbl'!$A$8:$AX$64,28)</f>
        <v>10.33729449231382</v>
      </c>
      <c r="E29" s="7">
        <v>47</v>
      </c>
      <c r="F29" s="7">
        <v>45</v>
      </c>
      <c r="G29" s="576">
        <v>3.9412187963968943</v>
      </c>
      <c r="H29" s="576">
        <v>0.4946110928025414</v>
      </c>
      <c r="I29" s="577">
        <v>0.14294930507760523</v>
      </c>
      <c r="J29" s="7">
        <v>10.269197331245552</v>
      </c>
      <c r="K29" s="7">
        <v>0.6518353075238229</v>
      </c>
      <c r="L29" s="7">
        <v>0.21013712852992669</v>
      </c>
      <c r="M29" s="576">
        <v>0.44569072282688954</v>
      </c>
      <c r="N29" s="524">
        <f t="shared" si="1"/>
        <v>6.8097161068267908E-2</v>
      </c>
      <c r="O29" s="525">
        <f t="shared" si="2"/>
        <v>4.6372233455576227E-3</v>
      </c>
      <c r="P29" s="465">
        <f t="shared" si="3"/>
        <v>10.269197331245552</v>
      </c>
      <c r="Q29" s="440">
        <f t="shared" si="4"/>
        <v>9.4176553412026571</v>
      </c>
      <c r="R29" s="440">
        <f t="shared" si="5"/>
        <v>11.120739321288447</v>
      </c>
      <c r="S29" s="466">
        <f t="shared" si="19"/>
        <v>2031.6821364846837</v>
      </c>
      <c r="T29" s="440">
        <f t="shared" si="7"/>
        <v>4127732.3037109692</v>
      </c>
      <c r="U29" s="466">
        <f t="shared" si="8"/>
        <v>28830.736345279107</v>
      </c>
      <c r="V29" s="467">
        <f t="shared" si="9"/>
        <v>12303.700394569574</v>
      </c>
      <c r="W29" s="467">
        <f t="shared" si="10"/>
        <v>67557.834761472695</v>
      </c>
      <c r="X29" s="468">
        <f t="shared" si="11"/>
        <v>-6.5830295758745508E-2</v>
      </c>
      <c r="Y29" s="468">
        <f t="shared" si="12"/>
        <v>6.5830295758745508E-2</v>
      </c>
      <c r="Z29" s="517">
        <f t="shared" si="13"/>
        <v>12.793846775642196</v>
      </c>
      <c r="AA29" s="471">
        <f t="shared" si="14"/>
        <v>10.271672777317946</v>
      </c>
      <c r="AB29" s="473">
        <f t="shared" si="15"/>
        <v>10.33729449231382</v>
      </c>
      <c r="AC29" s="801">
        <f t="shared" si="16"/>
        <v>83</v>
      </c>
      <c r="AD29" s="435">
        <f t="shared" si="17"/>
        <v>9.420130787275049</v>
      </c>
      <c r="AE29" s="441">
        <f t="shared" si="18"/>
        <v>11.123214767360842</v>
      </c>
    </row>
    <row r="30" spans="1:31">
      <c r="A30" s="134">
        <v>1979</v>
      </c>
      <c r="B30" s="440">
        <f t="shared" si="0"/>
        <v>1984</v>
      </c>
      <c r="C30" s="458">
        <f>VLOOKUP($A30,'Brd Tbl'!$A$8:$AX$64,17)</f>
        <v>12.755644426092186</v>
      </c>
      <c r="D30" s="458">
        <f>VLOOKUP($A30,'Brd Tbl'!$A$8:$AX$64,28)</f>
        <v>9.7108349849448086</v>
      </c>
      <c r="E30" s="7">
        <v>47</v>
      </c>
      <c r="F30" s="7">
        <v>45</v>
      </c>
      <c r="G30" s="576">
        <v>3.7583114413011991</v>
      </c>
      <c r="H30" s="576">
        <v>0.51065008954120106</v>
      </c>
      <c r="I30" s="577">
        <v>0.1416778441644912</v>
      </c>
      <c r="J30" s="7">
        <v>10.271982409640895</v>
      </c>
      <c r="K30" s="7">
        <v>0.64670817137151837</v>
      </c>
      <c r="L30" s="7">
        <v>0.22401766501945697</v>
      </c>
      <c r="M30" s="576">
        <v>0.43908967582907049</v>
      </c>
      <c r="N30" s="524">
        <f t="shared" si="1"/>
        <v>-0.56114742469608636</v>
      </c>
      <c r="O30" s="525">
        <f t="shared" si="2"/>
        <v>0.31488643224304991</v>
      </c>
      <c r="P30" s="465">
        <f t="shared" si="3"/>
        <v>10.271982409640895</v>
      </c>
      <c r="Q30" s="440">
        <f t="shared" si="4"/>
        <v>9.4204404195979983</v>
      </c>
      <c r="R30" s="440">
        <f t="shared" si="5"/>
        <v>11.123524399683792</v>
      </c>
      <c r="S30" s="466">
        <f t="shared" si="19"/>
        <v>-12415.774611919413</v>
      </c>
      <c r="T30" s="440">
        <f t="shared" si="7"/>
        <v>154151459.21398264</v>
      </c>
      <c r="U30" s="466">
        <f t="shared" si="8"/>
        <v>28911.144125206865</v>
      </c>
      <c r="V30" s="467">
        <f t="shared" si="9"/>
        <v>12338.014926872005</v>
      </c>
      <c r="W30" s="467">
        <f t="shared" si="10"/>
        <v>67746.250882547218</v>
      </c>
      <c r="X30" s="468">
        <f t="shared" si="11"/>
        <v>0.75268241805181635</v>
      </c>
      <c r="Y30" s="468">
        <f t="shared" si="12"/>
        <v>0.75268241805181635</v>
      </c>
      <c r="Z30" s="517">
        <f t="shared" si="13"/>
        <v>12.755644426092186</v>
      </c>
      <c r="AA30" s="471">
        <f t="shared" si="14"/>
        <v>10.25270696694597</v>
      </c>
      <c r="AB30" s="473">
        <f t="shared" si="15"/>
        <v>9.7108349849448086</v>
      </c>
      <c r="AC30" s="801">
        <f t="shared" si="16"/>
        <v>84</v>
      </c>
      <c r="AD30" s="435">
        <f t="shared" si="17"/>
        <v>9.4011649769030754</v>
      </c>
      <c r="AE30" s="441">
        <f t="shared" si="18"/>
        <v>11.104248956988865</v>
      </c>
    </row>
    <row r="31" spans="1:31">
      <c r="A31" s="134">
        <v>1980</v>
      </c>
      <c r="B31" s="440">
        <f t="shared" si="0"/>
        <v>1985</v>
      </c>
      <c r="C31" s="458">
        <f>VLOOKUP($A31,'Brd Tbl'!$A$8:$AX$64,17)</f>
        <v>12.223216515315409</v>
      </c>
      <c r="D31" s="458">
        <f>VLOOKUP($A31,'Brd Tbl'!$A$8:$AX$64,28)</f>
        <v>10.181945149571556</v>
      </c>
      <c r="E31" s="7">
        <v>47</v>
      </c>
      <c r="F31" s="7">
        <v>45</v>
      </c>
      <c r="G31" s="576">
        <v>3.9161887548564218</v>
      </c>
      <c r="H31" s="576">
        <v>0.49643826369440719</v>
      </c>
      <c r="I31" s="577">
        <v>0.14168663909740556</v>
      </c>
      <c r="J31" s="7">
        <v>9.9842611384804059</v>
      </c>
      <c r="K31" s="7">
        <v>0.65125896714025855</v>
      </c>
      <c r="L31" s="7">
        <v>0.21433674335038055</v>
      </c>
      <c r="M31" s="576">
        <v>0.44495791974400589</v>
      </c>
      <c r="N31" s="524">
        <f t="shared" si="1"/>
        <v>0.19768401109114997</v>
      </c>
      <c r="O31" s="525">
        <f t="shared" si="2"/>
        <v>3.9078968241085907E-2</v>
      </c>
      <c r="P31" s="465">
        <f t="shared" si="3"/>
        <v>9.9842611384804059</v>
      </c>
      <c r="Q31" s="440">
        <f t="shared" si="4"/>
        <v>9.1327191484375092</v>
      </c>
      <c r="R31" s="440">
        <f t="shared" si="5"/>
        <v>10.835803128523303</v>
      </c>
      <c r="S31" s="466">
        <f t="shared" si="19"/>
        <v>4739.3035700938744</v>
      </c>
      <c r="T31" s="440">
        <f t="shared" si="7"/>
        <v>22460998.329504542</v>
      </c>
      <c r="U31" s="466">
        <f t="shared" si="8"/>
        <v>21682.508150925853</v>
      </c>
      <c r="V31" s="467">
        <f t="shared" si="9"/>
        <v>9253.1484765732348</v>
      </c>
      <c r="W31" s="467">
        <f t="shared" si="10"/>
        <v>50807.696526779619</v>
      </c>
      <c r="X31" s="468">
        <f t="shared" si="11"/>
        <v>-0.17937087812655736</v>
      </c>
      <c r="Y31" s="468">
        <f t="shared" si="12"/>
        <v>0.17937087812655736</v>
      </c>
      <c r="Z31" s="517">
        <f t="shared" si="13"/>
        <v>12.223216515315409</v>
      </c>
      <c r="AA31" s="471">
        <f t="shared" si="14"/>
        <v>9.9883795914969795</v>
      </c>
      <c r="AB31" s="473">
        <f t="shared" si="15"/>
        <v>10.181945149571556</v>
      </c>
      <c r="AC31" s="801">
        <f t="shared" si="16"/>
        <v>85</v>
      </c>
      <c r="AD31" s="435">
        <f t="shared" si="17"/>
        <v>9.1368376014540829</v>
      </c>
      <c r="AE31" s="441">
        <f t="shared" si="18"/>
        <v>10.839921581539876</v>
      </c>
    </row>
    <row r="32" spans="1:31">
      <c r="A32" s="134">
        <v>1981</v>
      </c>
      <c r="B32" s="440">
        <f t="shared" si="0"/>
        <v>1986</v>
      </c>
      <c r="C32" s="458">
        <f>VLOOKUP($A32,'Brd Tbl'!$A$8:$AX$64,17)</f>
        <v>11.964532789893058</v>
      </c>
      <c r="D32" s="458">
        <f>VLOOKUP($A32,'Brd Tbl'!$A$8:$AX$64,28)</f>
        <v>9.0619864355716402</v>
      </c>
      <c r="E32" s="7">
        <v>47</v>
      </c>
      <c r="F32" s="7">
        <v>45</v>
      </c>
      <c r="G32" s="576">
        <v>4.0585203455009298</v>
      </c>
      <c r="H32" s="576">
        <v>0.48652267769903679</v>
      </c>
      <c r="I32" s="577">
        <v>0.13961110911821015</v>
      </c>
      <c r="J32" s="7">
        <v>9.8795368758576281</v>
      </c>
      <c r="K32" s="7">
        <v>0.64069591868396458</v>
      </c>
      <c r="L32" s="7">
        <v>0.21251746968052915</v>
      </c>
      <c r="M32" s="576">
        <v>0.43156835050633086</v>
      </c>
      <c r="N32" s="524">
        <f t="shared" si="1"/>
        <v>-0.81755044028598789</v>
      </c>
      <c r="O32" s="525">
        <f t="shared" si="2"/>
        <v>0.66838872241181269</v>
      </c>
      <c r="P32" s="465">
        <f t="shared" si="3"/>
        <v>9.8795368758576281</v>
      </c>
      <c r="Q32" s="440">
        <f t="shared" si="4"/>
        <v>9.0279948858147314</v>
      </c>
      <c r="R32" s="440">
        <f t="shared" si="5"/>
        <v>10.731078865900525</v>
      </c>
      <c r="S32" s="466">
        <f t="shared" si="19"/>
        <v>-10905.418060123528</v>
      </c>
      <c r="T32" s="440">
        <f t="shared" si="7"/>
        <v>118928143.0660684</v>
      </c>
      <c r="U32" s="466">
        <f t="shared" si="8"/>
        <v>19526.677291988322</v>
      </c>
      <c r="V32" s="467">
        <f t="shared" si="9"/>
        <v>8333.1339243234033</v>
      </c>
      <c r="W32" s="467">
        <f t="shared" si="10"/>
        <v>45756.030027611836</v>
      </c>
      <c r="X32" s="468">
        <f t="shared" si="11"/>
        <v>1.2649449189297448</v>
      </c>
      <c r="Y32" s="468">
        <f t="shared" si="12"/>
        <v>1.2649449189297448</v>
      </c>
      <c r="Z32" s="517">
        <f t="shared" si="13"/>
        <v>11.964532789893058</v>
      </c>
      <c r="AA32" s="471">
        <f t="shared" si="14"/>
        <v>9.8599543364939102</v>
      </c>
      <c r="AB32" s="473">
        <f t="shared" si="15"/>
        <v>9.0619864355716402</v>
      </c>
      <c r="AC32" s="801">
        <f t="shared" si="16"/>
        <v>86</v>
      </c>
      <c r="AD32" s="435">
        <f t="shared" si="17"/>
        <v>9.0084123464510135</v>
      </c>
      <c r="AE32" s="441">
        <f t="shared" si="18"/>
        <v>10.711496326536807</v>
      </c>
    </row>
    <row r="33" spans="1:35">
      <c r="A33" s="134">
        <v>1982</v>
      </c>
      <c r="B33" s="440">
        <f t="shared" si="0"/>
        <v>1987</v>
      </c>
      <c r="C33" s="458">
        <f>VLOOKUP($A33,'Brd Tbl'!$A$8:$AX$64,17)</f>
        <v>12.585188327865673</v>
      </c>
      <c r="D33" s="458">
        <f>VLOOKUP($A33,'Brd Tbl'!$A$8:$AX$64,28)</f>
        <v>9.315093953184272</v>
      </c>
      <c r="E33" s="7">
        <v>47</v>
      </c>
      <c r="F33" s="7">
        <v>45</v>
      </c>
      <c r="G33" s="576">
        <v>3.7537752538798363</v>
      </c>
      <c r="H33" s="576">
        <v>0.51155926496199178</v>
      </c>
      <c r="I33" s="577">
        <v>0.13947504921053233</v>
      </c>
      <c r="J33" s="7">
        <v>10.191844944291038</v>
      </c>
      <c r="K33" s="7">
        <v>0.63903793680791776</v>
      </c>
      <c r="L33" s="7">
        <v>0.23014244596563208</v>
      </c>
      <c r="M33" s="576">
        <v>0.42943423182558865</v>
      </c>
      <c r="N33" s="524">
        <f t="shared" si="1"/>
        <v>-0.87675099110676591</v>
      </c>
      <c r="O33" s="525">
        <f t="shared" si="2"/>
        <v>0.76869230040669634</v>
      </c>
      <c r="P33" s="465">
        <f t="shared" si="3"/>
        <v>10.191844944291038</v>
      </c>
      <c r="Q33" s="440">
        <f t="shared" si="4"/>
        <v>9.3403029542481413</v>
      </c>
      <c r="R33" s="440">
        <f t="shared" si="5"/>
        <v>11.043386934333935</v>
      </c>
      <c r="S33" s="466">
        <f t="shared" si="19"/>
        <v>-15580.311822448868</v>
      </c>
      <c r="T33" s="440">
        <f t="shared" si="7"/>
        <v>242746116.48473996</v>
      </c>
      <c r="U33" s="466">
        <f t="shared" si="8"/>
        <v>26684.681263534636</v>
      </c>
      <c r="V33" s="467">
        <f t="shared" si="9"/>
        <v>11387.857717511079</v>
      </c>
      <c r="W33" s="467">
        <f t="shared" si="10"/>
        <v>62529.075424035625</v>
      </c>
      <c r="X33" s="468">
        <f t="shared" si="11"/>
        <v>1.4030793828600725</v>
      </c>
      <c r="Y33" s="468">
        <f t="shared" si="12"/>
        <v>1.4030793828600725</v>
      </c>
      <c r="Z33" s="517">
        <f t="shared" si="13"/>
        <v>12.585188327865673</v>
      </c>
      <c r="AA33" s="471">
        <f t="shared" si="14"/>
        <v>10.168082903929147</v>
      </c>
      <c r="AB33" s="473">
        <f t="shared" si="15"/>
        <v>9.315093953184272</v>
      </c>
      <c r="AC33" s="801">
        <f t="shared" si="16"/>
        <v>87</v>
      </c>
      <c r="AD33" s="435">
        <f t="shared" si="17"/>
        <v>9.3165409138862501</v>
      </c>
      <c r="AE33" s="441">
        <f t="shared" si="18"/>
        <v>11.019624893972043</v>
      </c>
    </row>
    <row r="34" spans="1:35">
      <c r="A34" s="134">
        <v>1983</v>
      </c>
      <c r="B34" s="440">
        <f t="shared" si="0"/>
        <v>1988</v>
      </c>
      <c r="C34" s="458">
        <f>VLOOKUP($A34,'Brd Tbl'!$A$8:$AX$64,17)</f>
        <v>11.642981829504725</v>
      </c>
      <c r="D34" s="458">
        <f>VLOOKUP($A34,'Brd Tbl'!$A$8:$AX$64,28)</f>
        <v>9.8560775278142092</v>
      </c>
      <c r="E34" s="7">
        <v>47</v>
      </c>
      <c r="F34" s="7">
        <v>45</v>
      </c>
      <c r="G34" s="576">
        <v>3.862629708019762</v>
      </c>
      <c r="H34" s="576">
        <v>0.50088207912457627</v>
      </c>
      <c r="I34" s="577">
        <v>0.14289476612872723</v>
      </c>
      <c r="J34" s="7">
        <v>9.6943906539917517</v>
      </c>
      <c r="K34" s="7">
        <v>0.651482096347898</v>
      </c>
      <c r="L34" s="7">
        <v>0.21447855506580488</v>
      </c>
      <c r="M34" s="576">
        <v>0.44523316066048685</v>
      </c>
      <c r="N34" s="524">
        <f t="shared" si="1"/>
        <v>0.1616868738224575</v>
      </c>
      <c r="O34" s="525">
        <f t="shared" si="2"/>
        <v>2.6142645166479291E-2</v>
      </c>
      <c r="P34" s="465">
        <f t="shared" si="3"/>
        <v>9.6943906539917517</v>
      </c>
      <c r="Q34" s="440">
        <f t="shared" si="4"/>
        <v>8.8428486639488568</v>
      </c>
      <c r="R34" s="440">
        <f t="shared" si="5"/>
        <v>10.545932644034647</v>
      </c>
      <c r="S34" s="466">
        <f t="shared" si="19"/>
        <v>2847.593238499514</v>
      </c>
      <c r="T34" s="440">
        <f t="shared" si="7"/>
        <v>8108787.2519481499</v>
      </c>
      <c r="U34" s="466">
        <f t="shared" si="8"/>
        <v>16226.332328705372</v>
      </c>
      <c r="V34" s="467">
        <f t="shared" si="9"/>
        <v>6924.6906871943293</v>
      </c>
      <c r="W34" s="467">
        <f t="shared" si="10"/>
        <v>38022.472444652631</v>
      </c>
      <c r="X34" s="468">
        <f t="shared" si="11"/>
        <v>-0.14929245835978186</v>
      </c>
      <c r="Y34" s="468">
        <f t="shared" si="12"/>
        <v>0.14929245835978186</v>
      </c>
      <c r="Z34" s="517">
        <f t="shared" si="13"/>
        <v>11.642981829504725</v>
      </c>
      <c r="AA34" s="471">
        <f t="shared" si="14"/>
        <v>9.7003182248021904</v>
      </c>
      <c r="AB34" s="473">
        <f t="shared" si="15"/>
        <v>9.8560775278142092</v>
      </c>
      <c r="AC34" s="801">
        <f t="shared" si="16"/>
        <v>88</v>
      </c>
      <c r="AD34" s="435">
        <f t="shared" si="17"/>
        <v>8.8487762347592955</v>
      </c>
      <c r="AE34" s="441">
        <f t="shared" si="18"/>
        <v>10.551860214845085</v>
      </c>
    </row>
    <row r="35" spans="1:35">
      <c r="A35" s="134">
        <v>1984</v>
      </c>
      <c r="B35" s="440">
        <f t="shared" si="0"/>
        <v>1989</v>
      </c>
      <c r="C35" s="458">
        <f>VLOOKUP($A35,'Brd Tbl'!$A$8:$AX$64,17)</f>
        <v>12.593228770058985</v>
      </c>
      <c r="D35" s="458">
        <f>VLOOKUP($A35,'Brd Tbl'!$A$8:$AX$64,28)</f>
        <v>9.8974061373719184</v>
      </c>
      <c r="E35" s="7">
        <v>47</v>
      </c>
      <c r="F35" s="7">
        <v>45</v>
      </c>
      <c r="G35" s="576">
        <v>3.8652015202916665</v>
      </c>
      <c r="H35" s="576">
        <v>0.50142867006107494</v>
      </c>
      <c r="I35" s="577">
        <v>0.14201640368340798</v>
      </c>
      <c r="J35" s="7">
        <v>10.17980747423721</v>
      </c>
      <c r="K35" s="7">
        <v>0.65058809238101811</v>
      </c>
      <c r="L35" s="7">
        <v>0.21693381697902284</v>
      </c>
      <c r="M35" s="576">
        <v>0.44409256768395872</v>
      </c>
      <c r="N35" s="524">
        <f t="shared" si="1"/>
        <v>-0.28240133686529134</v>
      </c>
      <c r="O35" s="525">
        <f t="shared" si="2"/>
        <v>7.9750515063303759E-2</v>
      </c>
      <c r="P35" s="465">
        <f t="shared" si="3"/>
        <v>10.17980747423721</v>
      </c>
      <c r="Q35" s="440">
        <f t="shared" si="4"/>
        <v>9.3282654841943149</v>
      </c>
      <c r="R35" s="440">
        <f t="shared" si="5"/>
        <v>11.031349464280105</v>
      </c>
      <c r="S35" s="466">
        <f t="shared" si="19"/>
        <v>-6486.6500078650752</v>
      </c>
      <c r="T35" s="440">
        <f t="shared" si="7"/>
        <v>42076628.324535981</v>
      </c>
      <c r="U35" s="466">
        <f t="shared" si="8"/>
        <v>26365.390792114351</v>
      </c>
      <c r="V35" s="467">
        <f t="shared" si="9"/>
        <v>11251.59847486989</v>
      </c>
      <c r="W35" s="467">
        <f t="shared" si="10"/>
        <v>61780.895681042013</v>
      </c>
      <c r="X35" s="468">
        <f t="shared" si="11"/>
        <v>0.32631091064906426</v>
      </c>
      <c r="Y35" s="468">
        <f t="shared" si="12"/>
        <v>0.32631091064906426</v>
      </c>
      <c r="Z35" s="517">
        <f t="shared" si="13"/>
        <v>12.593228770058985</v>
      </c>
      <c r="AA35" s="471">
        <f t="shared" si="14"/>
        <v>10.172074634902279</v>
      </c>
      <c r="AB35" s="473">
        <f t="shared" si="15"/>
        <v>9.8974061373719184</v>
      </c>
      <c r="AC35" s="801">
        <f t="shared" si="16"/>
        <v>89</v>
      </c>
      <c r="AD35" s="435">
        <f t="shared" si="17"/>
        <v>9.3205326448593837</v>
      </c>
      <c r="AE35" s="441">
        <f t="shared" si="18"/>
        <v>11.023616624945173</v>
      </c>
    </row>
    <row r="36" spans="1:35">
      <c r="A36" s="134">
        <v>1985</v>
      </c>
      <c r="B36" s="440">
        <f t="shared" si="0"/>
        <v>1990</v>
      </c>
      <c r="C36" s="458">
        <f>VLOOKUP($A36,'Brd Tbl'!$A$8:$AX$64,17)</f>
        <v>12.391479356752267</v>
      </c>
      <c r="D36" s="458">
        <f>VLOOKUP($A36,'Brd Tbl'!$A$8:$AX$64,28)</f>
        <v>11.093224203115401</v>
      </c>
      <c r="E36" s="7">
        <v>47</v>
      </c>
      <c r="F36" s="7">
        <v>45</v>
      </c>
      <c r="G36" s="576">
        <v>4.0011722914659442</v>
      </c>
      <c r="H36" s="576">
        <v>0.48804095796312563</v>
      </c>
      <c r="I36" s="577">
        <v>0.13791286680906839</v>
      </c>
      <c r="J36" s="7">
        <v>10.048721747315616</v>
      </c>
      <c r="K36" s="7">
        <v>0.63346885455956858</v>
      </c>
      <c r="L36" s="7">
        <v>0.21770210061032486</v>
      </c>
      <c r="M36" s="576">
        <v>0.4225769322561187</v>
      </c>
      <c r="N36" s="524">
        <f t="shared" si="1"/>
        <v>1.0445024557997851</v>
      </c>
      <c r="O36" s="525">
        <f t="shared" si="2"/>
        <v>1.0909853801717819</v>
      </c>
      <c r="P36" s="465">
        <f t="shared" si="3"/>
        <v>10.048721747315616</v>
      </c>
      <c r="Q36" s="440">
        <f t="shared" si="4"/>
        <v>9.1971797572727212</v>
      </c>
      <c r="R36" s="440">
        <f t="shared" si="5"/>
        <v>10.900263737358511</v>
      </c>
      <c r="S36" s="466">
        <f t="shared" si="19"/>
        <v>42598.106600402069</v>
      </c>
      <c r="T36" s="440">
        <f t="shared" si="7"/>
        <v>1814598685.9392183</v>
      </c>
      <c r="U36" s="466">
        <f t="shared" si="8"/>
        <v>23126.206808109975</v>
      </c>
      <c r="V36" s="467">
        <f t="shared" si="9"/>
        <v>9869.256075259138</v>
      </c>
      <c r="W36" s="467">
        <f t="shared" si="10"/>
        <v>54190.654012129206</v>
      </c>
      <c r="X36" s="468">
        <f t="shared" si="11"/>
        <v>-0.64813315485902256</v>
      </c>
      <c r="Y36" s="468">
        <f t="shared" si="12"/>
        <v>0.64813315485902256</v>
      </c>
      <c r="Z36" s="517">
        <f t="shared" si="13"/>
        <v>12.391479356752267</v>
      </c>
      <c r="AA36" s="471">
        <f t="shared" si="14"/>
        <v>10.071914797601607</v>
      </c>
      <c r="AB36" s="473">
        <f t="shared" si="15"/>
        <v>11.093224203115401</v>
      </c>
      <c r="AC36" s="801">
        <f t="shared" si="16"/>
        <v>90</v>
      </c>
      <c r="AD36" s="435">
        <f t="shared" si="17"/>
        <v>9.2203728075587108</v>
      </c>
      <c r="AE36" s="441">
        <f t="shared" si="18"/>
        <v>10.923456787644504</v>
      </c>
    </row>
    <row r="37" spans="1:35">
      <c r="A37" s="134">
        <v>1986</v>
      </c>
      <c r="B37" s="440">
        <f t="shared" si="0"/>
        <v>1991</v>
      </c>
      <c r="C37" s="458">
        <f>VLOOKUP($A37,'Brd Tbl'!$A$8:$AX$64,17)</f>
        <v>12.555611132914068</v>
      </c>
      <c r="D37" s="458">
        <f>VLOOKUP($A37,'Brd Tbl'!$A$8:$AX$64,28)</f>
        <v>8.7360473966242616</v>
      </c>
      <c r="E37" s="7">
        <v>47</v>
      </c>
      <c r="F37" s="7">
        <v>45</v>
      </c>
      <c r="G37" s="576">
        <v>3.6689187218600701</v>
      </c>
      <c r="H37" s="576">
        <v>0.51948898937536803</v>
      </c>
      <c r="I37" s="577">
        <v>0.13432499283745752</v>
      </c>
      <c r="J37" s="7">
        <v>10.19142046028772</v>
      </c>
      <c r="K37" s="7">
        <v>0.61575085536615004</v>
      </c>
      <c r="L37" s="7">
        <v>0.24945976422472282</v>
      </c>
      <c r="M37" s="576">
        <v>0.40072320088877023</v>
      </c>
      <c r="N37" s="524">
        <f t="shared" si="1"/>
        <v>-1.4553730636634583</v>
      </c>
      <c r="O37" s="525">
        <f t="shared" si="2"/>
        <v>2.1181107544371605</v>
      </c>
      <c r="P37" s="465">
        <f t="shared" si="3"/>
        <v>10.19142046028772</v>
      </c>
      <c r="Q37" s="440">
        <f t="shared" si="4"/>
        <v>9.3398784702448232</v>
      </c>
      <c r="R37" s="440">
        <f t="shared" si="5"/>
        <v>11.042962450330617</v>
      </c>
      <c r="S37" s="466">
        <f t="shared" si="19"/>
        <v>-20450.107446976403</v>
      </c>
      <c r="T37" s="440">
        <f t="shared" si="7"/>
        <v>418206894.59287971</v>
      </c>
      <c r="U37" s="466">
        <f t="shared" si="8"/>
        <v>26673.356446976406</v>
      </c>
      <c r="V37" s="467">
        <f t="shared" si="9"/>
        <v>11383.024779902853</v>
      </c>
      <c r="W37" s="467">
        <f t="shared" si="10"/>
        <v>62502.538464431746</v>
      </c>
      <c r="X37" s="468">
        <f t="shared" si="11"/>
        <v>3.2860821488866008</v>
      </c>
      <c r="Y37" s="468">
        <f t="shared" si="12"/>
        <v>3.2860821488866008</v>
      </c>
      <c r="Z37" s="441">
        <f t="shared" si="13"/>
        <v>12.555611132914068</v>
      </c>
      <c r="AA37" s="471">
        <f t="shared" si="14"/>
        <v>10.1533991088905</v>
      </c>
      <c r="AB37" s="473">
        <f t="shared" si="15"/>
        <v>8.7360473966242616</v>
      </c>
      <c r="AC37" s="801">
        <f t="shared" si="16"/>
        <v>91</v>
      </c>
      <c r="AD37" s="435">
        <f t="shared" si="17"/>
        <v>9.3018571188476038</v>
      </c>
      <c r="AE37" s="441">
        <f t="shared" si="18"/>
        <v>11.004941098933397</v>
      </c>
    </row>
    <row r="38" spans="1:35">
      <c r="A38" s="134">
        <v>1987</v>
      </c>
      <c r="B38" s="440">
        <f t="shared" si="0"/>
        <v>1992</v>
      </c>
      <c r="C38" s="458">
        <f>VLOOKUP($A38,'Brd Tbl'!$A$8:$AX$64,17)</f>
        <v>12.345291589425951</v>
      </c>
      <c r="D38" s="458">
        <f>VLOOKUP($A38,'Brd Tbl'!$A$8:$AX$64,28)</f>
        <v>10.111457545898483</v>
      </c>
      <c r="E38" s="7">
        <v>47</v>
      </c>
      <c r="F38" s="7">
        <v>45</v>
      </c>
      <c r="G38" s="576">
        <v>3.9233335697596843</v>
      </c>
      <c r="H38" s="576">
        <v>0.49608178634019823</v>
      </c>
      <c r="I38" s="577">
        <v>0.14186655767266868</v>
      </c>
      <c r="J38" s="7">
        <v>10.047607874332735</v>
      </c>
      <c r="K38" s="7">
        <v>0.65184348564132333</v>
      </c>
      <c r="L38" s="7">
        <v>0.21366817550682202</v>
      </c>
      <c r="M38" s="576">
        <v>0.44570264714149593</v>
      </c>
      <c r="N38" s="524">
        <f t="shared" si="1"/>
        <v>6.3849671565748167E-2</v>
      </c>
      <c r="O38" s="525">
        <f t="shared" si="2"/>
        <v>4.0767805590539103E-3</v>
      </c>
      <c r="P38" s="465">
        <f t="shared" si="3"/>
        <v>10.047607874332735</v>
      </c>
      <c r="Q38" s="440">
        <f t="shared" si="4"/>
        <v>9.1960658842898404</v>
      </c>
      <c r="R38" s="440">
        <f t="shared" si="5"/>
        <v>10.89914986437563</v>
      </c>
      <c r="S38" s="466">
        <f t="shared" si="19"/>
        <v>1523.063018396595</v>
      </c>
      <c r="T38" s="440">
        <f t="shared" si="7"/>
        <v>2319720.9580073468</v>
      </c>
      <c r="U38" s="466">
        <f t="shared" si="8"/>
        <v>23100.461492317634</v>
      </c>
      <c r="V38" s="467">
        <f t="shared" si="9"/>
        <v>9858.2690977404582</v>
      </c>
      <c r="W38" s="467">
        <f t="shared" si="10"/>
        <v>54130.326111747097</v>
      </c>
      <c r="X38" s="468">
        <f t="shared" si="11"/>
        <v>-6.1853981047021812E-2</v>
      </c>
      <c r="Y38" s="468">
        <f t="shared" si="12"/>
        <v>6.1853981047021812E-2</v>
      </c>
      <c r="Z38" s="441">
        <f t="shared" si="13"/>
        <v>12.345291589425951</v>
      </c>
      <c r="AA38" s="471">
        <f t="shared" si="14"/>
        <v>10.04898457349408</v>
      </c>
      <c r="AB38" s="473">
        <f t="shared" si="15"/>
        <v>10.111457545898483</v>
      </c>
      <c r="AC38" s="801">
        <f t="shared" si="16"/>
        <v>92</v>
      </c>
      <c r="AD38" s="435">
        <f t="shared" si="17"/>
        <v>9.1974425834511848</v>
      </c>
      <c r="AE38" s="441">
        <f t="shared" si="18"/>
        <v>10.900526563536975</v>
      </c>
    </row>
    <row r="39" spans="1:35">
      <c r="A39" s="134">
        <v>1988</v>
      </c>
      <c r="B39" s="440">
        <f t="shared" si="0"/>
        <v>1993</v>
      </c>
      <c r="C39" s="458">
        <f>VLOOKUP($A39,'Brd Tbl'!$A$8:$AX$64,17)</f>
        <v>12.379846726997387</v>
      </c>
      <c r="D39" s="458">
        <f>VLOOKUP($A39,'Brd Tbl'!$A$8:$AX$64,28)</f>
        <v>9.9129617126545728</v>
      </c>
      <c r="E39" s="7">
        <v>47</v>
      </c>
      <c r="F39" s="7">
        <v>45</v>
      </c>
      <c r="G39" s="576">
        <v>3.9089766788750309</v>
      </c>
      <c r="H39" s="576">
        <v>0.49763237757332712</v>
      </c>
      <c r="I39" s="577">
        <v>0.14182583772360469</v>
      </c>
      <c r="J39" s="7">
        <v>10.069589239624113</v>
      </c>
      <c r="K39" s="7">
        <v>0.65150243163217203</v>
      </c>
      <c r="L39" s="7">
        <v>0.21481555157036061</v>
      </c>
      <c r="M39" s="576">
        <v>0.44526742582988865</v>
      </c>
      <c r="N39" s="524">
        <f t="shared" si="1"/>
        <v>-0.1566275269695403</v>
      </c>
      <c r="O39" s="525">
        <f t="shared" si="2"/>
        <v>2.4532182204594074E-2</v>
      </c>
      <c r="P39" s="465">
        <f t="shared" si="3"/>
        <v>10.069589239624113</v>
      </c>
      <c r="Q39" s="440">
        <f t="shared" si="4"/>
        <v>9.2180472495812182</v>
      </c>
      <c r="R39" s="440">
        <f t="shared" si="5"/>
        <v>10.921131229667008</v>
      </c>
      <c r="S39" s="466">
        <f t="shared" si="19"/>
        <v>-3423.4794965066976</v>
      </c>
      <c r="T39" s="440">
        <f t="shared" si="7"/>
        <v>11720211.863001753</v>
      </c>
      <c r="U39" s="466">
        <f t="shared" si="8"/>
        <v>23613.863137361386</v>
      </c>
      <c r="V39" s="467">
        <f t="shared" si="9"/>
        <v>10077.366520263689</v>
      </c>
      <c r="W39" s="467">
        <f t="shared" si="10"/>
        <v>55333.358288475167</v>
      </c>
      <c r="X39" s="468">
        <f t="shared" si="11"/>
        <v>0.16955990323925202</v>
      </c>
      <c r="Y39" s="468">
        <f t="shared" si="12"/>
        <v>0.16955990323925202</v>
      </c>
      <c r="Z39" s="473">
        <f t="shared" si="13"/>
        <v>12.379846726997387</v>
      </c>
      <c r="AA39" s="471">
        <f t="shared" si="14"/>
        <v>10.06613970123562</v>
      </c>
      <c r="AB39" s="473">
        <f t="shared" si="15"/>
        <v>9.9129617126545728</v>
      </c>
      <c r="AC39" s="801">
        <f t="shared" si="16"/>
        <v>93</v>
      </c>
      <c r="AD39" s="435">
        <f t="shared" si="17"/>
        <v>9.2145977111927238</v>
      </c>
      <c r="AE39" s="441">
        <f t="shared" si="18"/>
        <v>10.917681691278517</v>
      </c>
    </row>
    <row r="40" spans="1:35">
      <c r="A40" s="134">
        <v>1989</v>
      </c>
      <c r="B40" s="440">
        <f t="shared" si="0"/>
        <v>1994</v>
      </c>
      <c r="C40" s="458">
        <f>VLOOKUP($A40,'Brd Tbl'!$A$8:$AX$64,17)</f>
        <v>12.428871221134534</v>
      </c>
      <c r="D40" s="458">
        <f>VLOOKUP($A40,'Brd Tbl'!$A$8:$AX$64,28)</f>
        <v>9.6129829013257417</v>
      </c>
      <c r="E40" s="7">
        <v>47</v>
      </c>
      <c r="F40" s="7">
        <v>45</v>
      </c>
      <c r="G40" s="576">
        <v>3.8715747738324353</v>
      </c>
      <c r="H40" s="576">
        <v>0.50125880806179857</v>
      </c>
      <c r="I40" s="577">
        <v>0.14110778690049733</v>
      </c>
      <c r="J40" s="7">
        <v>10.101655947691922</v>
      </c>
      <c r="K40" s="7">
        <v>0.64792226245192175</v>
      </c>
      <c r="L40" s="7">
        <v>0.21900648974896389</v>
      </c>
      <c r="M40" s="576">
        <v>0.44070850744605439</v>
      </c>
      <c r="N40" s="524">
        <f t="shared" si="1"/>
        <v>-0.48867304636618059</v>
      </c>
      <c r="O40" s="525">
        <f t="shared" si="2"/>
        <v>0.23880134624480329</v>
      </c>
      <c r="P40" s="465">
        <f t="shared" si="3"/>
        <v>10.101655947691922</v>
      </c>
      <c r="Q40" s="440">
        <f t="shared" ref="Q40:Q60" si="20">$P40-(SQRT($O$64)*$Q$64)</f>
        <v>9.2501139576490274</v>
      </c>
      <c r="R40" s="440">
        <f t="shared" si="5"/>
        <v>10.953197937734817</v>
      </c>
      <c r="S40" s="466">
        <f t="shared" si="19"/>
        <v>-9425.6325547832857</v>
      </c>
      <c r="T40" s="440">
        <f t="shared" si="7"/>
        <v>88842549.057790488</v>
      </c>
      <c r="U40" s="466">
        <f t="shared" si="8"/>
        <v>24383.353569356852</v>
      </c>
      <c r="V40" s="467">
        <f t="shared" si="9"/>
        <v>10405.751463970144</v>
      </c>
      <c r="W40" s="467">
        <f t="shared" si="10"/>
        <v>57136.472396720834</v>
      </c>
      <c r="X40" s="468">
        <f t="shared" si="11"/>
        <v>0.6301516484763775</v>
      </c>
      <c r="Y40" s="468">
        <f t="shared" si="12"/>
        <v>0.6301516484763775</v>
      </c>
      <c r="Z40" s="471">
        <f t="shared" si="13"/>
        <v>12.428871221134534</v>
      </c>
      <c r="AA40" s="471">
        <f t="shared" si="14"/>
        <v>10.090478237224616</v>
      </c>
      <c r="AB40" s="473">
        <f t="shared" si="15"/>
        <v>9.6129829013257417</v>
      </c>
      <c r="AC40" s="801">
        <f t="shared" si="16"/>
        <v>94</v>
      </c>
      <c r="AD40" s="435">
        <f t="shared" si="17"/>
        <v>9.2389362471817194</v>
      </c>
      <c r="AE40" s="441">
        <f t="shared" si="18"/>
        <v>10.942020227267513</v>
      </c>
      <c r="AH40" s="54" t="s">
        <v>180</v>
      </c>
      <c r="AI40" s="465">
        <f>ROUND(L62,5)</f>
        <v>0.21401000000000001</v>
      </c>
    </row>
    <row r="41" spans="1:35">
      <c r="A41" s="134">
        <v>1990</v>
      </c>
      <c r="B41" s="440">
        <f t="shared" si="0"/>
        <v>1995</v>
      </c>
      <c r="C41" s="458">
        <f>VLOOKUP($A41,'Brd Tbl'!$A$8:$AX$64,17)</f>
        <v>12.258436364026526</v>
      </c>
      <c r="D41" s="458">
        <f>VLOOKUP($A41,'Brd Tbl'!$A$8:$AX$64,28)</f>
        <v>10.574583142822014</v>
      </c>
      <c r="E41" s="7">
        <v>47</v>
      </c>
      <c r="F41" s="7">
        <v>45</v>
      </c>
      <c r="G41" s="576">
        <v>3.9204752214839491</v>
      </c>
      <c r="H41" s="576">
        <v>0.49543433621150734</v>
      </c>
      <c r="I41" s="577">
        <v>0.1406030179986287</v>
      </c>
      <c r="J41" s="7">
        <v>9.9937255044864344</v>
      </c>
      <c r="K41" s="7">
        <v>0.64625659297404059</v>
      </c>
      <c r="L41" s="7">
        <v>0.21624681660522779</v>
      </c>
      <c r="M41" s="576">
        <v>0.43861075745099098</v>
      </c>
      <c r="N41" s="524">
        <f t="shared" si="1"/>
        <v>0.58085763833557991</v>
      </c>
      <c r="O41" s="525">
        <f t="shared" si="2"/>
        <v>0.33739559601278735</v>
      </c>
      <c r="P41" s="465">
        <f t="shared" si="3"/>
        <v>9.9937255044864344</v>
      </c>
      <c r="Q41" s="440">
        <f t="shared" si="20"/>
        <v>9.1421835144435377</v>
      </c>
      <c r="R41" s="440">
        <f t="shared" si="5"/>
        <v>10.845267494529331</v>
      </c>
      <c r="S41" s="466">
        <f t="shared" si="19"/>
        <v>17238.897235064607</v>
      </c>
      <c r="T41" s="440">
        <f t="shared" si="7"/>
        <v>297179577.88111818</v>
      </c>
      <c r="U41" s="466">
        <f t="shared" si="8"/>
        <v>21888.693511782854</v>
      </c>
      <c r="V41" s="467">
        <f t="shared" si="9"/>
        <v>9341.1393927728532</v>
      </c>
      <c r="W41" s="467">
        <f t="shared" si="10"/>
        <v>51290.841888458628</v>
      </c>
      <c r="X41" s="468">
        <f t="shared" si="11"/>
        <v>-0.44058161788184103</v>
      </c>
      <c r="Y41" s="468">
        <f t="shared" si="12"/>
        <v>0.44058161788184103</v>
      </c>
      <c r="Z41" s="471">
        <f t="shared" si="13"/>
        <v>12.258436364026526</v>
      </c>
      <c r="AA41" s="471">
        <f t="shared" si="14"/>
        <v>10.005864719502267</v>
      </c>
      <c r="AB41" s="473">
        <f t="shared" si="15"/>
        <v>10.574583142822014</v>
      </c>
      <c r="AC41" s="801">
        <f t="shared" si="16"/>
        <v>95</v>
      </c>
      <c r="AD41" s="435">
        <f t="shared" si="17"/>
        <v>9.1543227294593699</v>
      </c>
      <c r="AE41" s="441">
        <f t="shared" si="18"/>
        <v>10.857406709545163</v>
      </c>
      <c r="AH41" s="54" t="s">
        <v>202</v>
      </c>
      <c r="AI41" s="465">
        <f>ROUND(H62,5)</f>
        <v>0.49646000000000001</v>
      </c>
    </row>
    <row r="42" spans="1:35">
      <c r="A42" s="134">
        <v>1991</v>
      </c>
      <c r="B42" s="440">
        <f t="shared" si="0"/>
        <v>1996</v>
      </c>
      <c r="C42" s="458">
        <f>VLOOKUP($A42,'Brd Tbl'!$A$8:$AX$64,17)</f>
        <v>13.002996181295167</v>
      </c>
      <c r="D42" s="458">
        <f>VLOOKUP($A42,'Brd Tbl'!$A$8:$AX$64,28)</f>
        <v>10.887887975016772</v>
      </c>
      <c r="E42" s="7">
        <v>47</v>
      </c>
      <c r="F42" s="7">
        <v>45</v>
      </c>
      <c r="G42" s="576">
        <v>4.1526807480517984</v>
      </c>
      <c r="H42" s="576">
        <v>0.47650518592388608</v>
      </c>
      <c r="I42" s="577">
        <v>0.14292731615793908</v>
      </c>
      <c r="J42" s="7">
        <v>10.348675860987433</v>
      </c>
      <c r="K42" s="7">
        <v>0.64718541668973251</v>
      </c>
      <c r="L42" s="7">
        <v>0.19807366869269882</v>
      </c>
      <c r="M42" s="576">
        <v>0.4396032232402845</v>
      </c>
      <c r="N42" s="524">
        <f t="shared" si="1"/>
        <v>0.53921211402933977</v>
      </c>
      <c r="O42" s="525">
        <f t="shared" si="2"/>
        <v>0.2907497039159897</v>
      </c>
      <c r="P42" s="465">
        <f t="shared" si="3"/>
        <v>10.348675860987433</v>
      </c>
      <c r="Q42" s="440">
        <f t="shared" si="20"/>
        <v>9.4971338709445376</v>
      </c>
      <c r="R42" s="440">
        <f t="shared" si="5"/>
        <v>11.200217851030327</v>
      </c>
      <c r="S42" s="466">
        <f t="shared" si="19"/>
        <v>22308.454657029666</v>
      </c>
      <c r="T42" s="440">
        <f t="shared" si="7"/>
        <v>497667149.18474859</v>
      </c>
      <c r="U42" s="466">
        <f t="shared" si="8"/>
        <v>31215.68153988009</v>
      </c>
      <c r="V42" s="467">
        <f t="shared" si="9"/>
        <v>13321.490949081159</v>
      </c>
      <c r="W42" s="467">
        <f t="shared" si="10"/>
        <v>73146.375110994661</v>
      </c>
      <c r="X42" s="468">
        <f t="shared" si="11"/>
        <v>-0.41679242753136958</v>
      </c>
      <c r="Y42" s="468">
        <f t="shared" si="12"/>
        <v>0.41679242753136958</v>
      </c>
      <c r="Z42" s="471">
        <f t="shared" si="13"/>
        <v>13.002996181295167</v>
      </c>
      <c r="AA42" s="471">
        <f t="shared" si="14"/>
        <v>10.375506390007992</v>
      </c>
      <c r="AB42" s="473">
        <f t="shared" si="15"/>
        <v>10.887887975016772</v>
      </c>
      <c r="AC42" s="801">
        <f t="shared" si="16"/>
        <v>96</v>
      </c>
      <c r="AD42" s="435">
        <f t="shared" si="17"/>
        <v>9.5239643999650951</v>
      </c>
      <c r="AE42" s="441">
        <f t="shared" si="18"/>
        <v>11.227048380050888</v>
      </c>
      <c r="AH42" s="54" t="s">
        <v>182</v>
      </c>
      <c r="AI42" s="510">
        <f t="shared" ref="AI42:AI47" si="21">X65</f>
        <v>0.21940394421910925</v>
      </c>
    </row>
    <row r="43" spans="1:35">
      <c r="A43" s="134">
        <v>1992</v>
      </c>
      <c r="B43" s="440">
        <f t="shared" si="0"/>
        <v>1997</v>
      </c>
      <c r="C43" s="458">
        <f>VLOOKUP($A43,'Brd Tbl'!$A$8:$AX$64,17)</f>
        <v>13.133155005618168</v>
      </c>
      <c r="D43" s="458">
        <f>VLOOKUP($A43,'Brd Tbl'!$A$8:$AX$64,28)</f>
        <v>10.198544960378467</v>
      </c>
      <c r="E43" s="7">
        <v>47</v>
      </c>
      <c r="F43" s="7">
        <v>45</v>
      </c>
      <c r="G43" s="576">
        <v>3.7898450804900312</v>
      </c>
      <c r="H43" s="576">
        <v>0.50755147453693594</v>
      </c>
      <c r="I43" s="577">
        <v>0.1445328027092638</v>
      </c>
      <c r="J43" s="7">
        <v>10.455597268913674</v>
      </c>
      <c r="K43" s="7">
        <v>0.65085221250617642</v>
      </c>
      <c r="L43" s="7">
        <v>0.21509562418309738</v>
      </c>
      <c r="M43" s="576">
        <v>0.4443835171677889</v>
      </c>
      <c r="N43" s="524">
        <f t="shared" si="1"/>
        <v>-0.25705230853520789</v>
      </c>
      <c r="O43" s="525">
        <f t="shared" si="2"/>
        <v>6.6075889323279707E-2</v>
      </c>
      <c r="P43" s="465">
        <f t="shared" si="3"/>
        <v>10.455597268913674</v>
      </c>
      <c r="Q43" s="440">
        <f t="shared" si="20"/>
        <v>9.6040552788707778</v>
      </c>
      <c r="R43" s="440">
        <f t="shared" si="5"/>
        <v>11.307139258956571</v>
      </c>
      <c r="S43" s="466">
        <f t="shared" si="19"/>
        <v>-7874.2016648905665</v>
      </c>
      <c r="T43" s="440">
        <f t="shared" si="7"/>
        <v>62003051.859365366</v>
      </c>
      <c r="U43" s="466">
        <f t="shared" si="8"/>
        <v>34738.271002606634</v>
      </c>
      <c r="V43" s="467">
        <f t="shared" si="9"/>
        <v>14824.778442102521</v>
      </c>
      <c r="W43" s="467">
        <f t="shared" si="10"/>
        <v>81400.708750113001</v>
      </c>
      <c r="X43" s="468">
        <f t="shared" si="11"/>
        <v>0.29311276582492679</v>
      </c>
      <c r="Y43" s="468">
        <f t="shared" si="12"/>
        <v>0.29311276582492679</v>
      </c>
      <c r="Z43" s="471">
        <f t="shared" si="13"/>
        <v>13.133155005618168</v>
      </c>
      <c r="AA43" s="471">
        <f t="shared" si="14"/>
        <v>10.440124603532206</v>
      </c>
      <c r="AB43" s="473">
        <f t="shared" si="15"/>
        <v>10.198544960378467</v>
      </c>
      <c r="AC43" s="801">
        <f t="shared" si="16"/>
        <v>97</v>
      </c>
      <c r="AD43" s="435">
        <f t="shared" si="17"/>
        <v>9.5885826134893115</v>
      </c>
      <c r="AE43" s="441">
        <f t="shared" si="18"/>
        <v>11.291666593575101</v>
      </c>
      <c r="AH43" s="54" t="s">
        <v>182</v>
      </c>
      <c r="AI43" s="510">
        <f t="shared" si="21"/>
        <v>0</v>
      </c>
    </row>
    <row r="44" spans="1:35">
      <c r="A44" s="134">
        <v>1993</v>
      </c>
      <c r="B44" s="440">
        <f t="shared" si="0"/>
        <v>1998</v>
      </c>
      <c r="C44" s="458">
        <f>VLOOKUP($A44,'Brd Tbl'!$A$8:$AX$64,17)</f>
        <v>12.418977384077587</v>
      </c>
      <c r="D44" s="458">
        <f>VLOOKUP($A44,'Brd Tbl'!$A$8:$AX$64,28)</f>
        <v>9.8528858812286817</v>
      </c>
      <c r="E44" s="7">
        <v>47</v>
      </c>
      <c r="F44" s="7">
        <v>45</v>
      </c>
      <c r="G44" s="576">
        <v>3.8978121402021282</v>
      </c>
      <c r="H44" s="576">
        <v>0.49868476466025946</v>
      </c>
      <c r="I44" s="577">
        <v>0.14175703254867403</v>
      </c>
      <c r="J44" s="7">
        <v>10.090966954301944</v>
      </c>
      <c r="K44" s="7">
        <v>0.65096661284355439</v>
      </c>
      <c r="L44" s="7">
        <v>0.21569319483272376</v>
      </c>
      <c r="M44" s="576">
        <v>0.4445833744436945</v>
      </c>
      <c r="N44" s="524">
        <f t="shared" si="1"/>
        <v>-0.23808107307326232</v>
      </c>
      <c r="O44" s="525">
        <f t="shared" si="2"/>
        <v>5.6682597355716069E-2</v>
      </c>
      <c r="P44" s="465">
        <f t="shared" si="3"/>
        <v>10.090966954301944</v>
      </c>
      <c r="Q44" s="440">
        <f t="shared" si="20"/>
        <v>9.2394249642590474</v>
      </c>
      <c r="R44" s="440">
        <f t="shared" si="5"/>
        <v>10.942508944344841</v>
      </c>
      <c r="S44" s="466">
        <f t="shared" si="19"/>
        <v>-5110.9626854509079</v>
      </c>
      <c r="T44" s="440">
        <f t="shared" si="7"/>
        <v>26121939.572071556</v>
      </c>
      <c r="U44" s="466">
        <f t="shared" si="8"/>
        <v>24124.108069274313</v>
      </c>
      <c r="V44" s="467">
        <f t="shared" si="9"/>
        <v>10295.116795349246</v>
      </c>
      <c r="W44" s="467">
        <f t="shared" si="10"/>
        <v>56528.993473967043</v>
      </c>
      <c r="X44" s="468">
        <f t="shared" si="11"/>
        <v>0.26881205514787532</v>
      </c>
      <c r="Y44" s="468">
        <f t="shared" si="12"/>
        <v>0.26881205514787532</v>
      </c>
      <c r="Z44" s="471">
        <f t="shared" si="13"/>
        <v>12.418977384077587</v>
      </c>
      <c r="AA44" s="471">
        <f t="shared" si="14"/>
        <v>10.085566376051585</v>
      </c>
      <c r="AB44" s="473">
        <f t="shared" si="15"/>
        <v>9.8528858812286817</v>
      </c>
      <c r="AC44" s="801">
        <f t="shared" si="16"/>
        <v>98</v>
      </c>
      <c r="AD44" s="435">
        <f t="shared" si="17"/>
        <v>9.2340243860086879</v>
      </c>
      <c r="AE44" s="441">
        <f t="shared" si="18"/>
        <v>10.937108366094481</v>
      </c>
      <c r="AH44" s="54" t="s">
        <v>182</v>
      </c>
      <c r="AI44" s="510">
        <f t="shared" si="21"/>
        <v>0</v>
      </c>
    </row>
    <row r="45" spans="1:35">
      <c r="A45" s="134">
        <v>1994</v>
      </c>
      <c r="B45" s="440">
        <f t="shared" si="0"/>
        <v>1999</v>
      </c>
      <c r="C45" s="458">
        <f>VLOOKUP($A45,'Brd Tbl'!$A$8:$AX$64,17)</f>
        <v>12.511596953312337</v>
      </c>
      <c r="D45" s="458">
        <f>VLOOKUP($A45,'Brd Tbl'!$A$8:$AX$64,28)</f>
        <v>10.460287109250565</v>
      </c>
      <c r="E45" s="7">
        <v>47</v>
      </c>
      <c r="F45" s="7">
        <v>45</v>
      </c>
      <c r="G45" s="576">
        <v>3.9696766788469278</v>
      </c>
      <c r="H45" s="576">
        <v>0.49182395932788769</v>
      </c>
      <c r="I45" s="577">
        <v>0.14170607905013152</v>
      </c>
      <c r="J45" s="7">
        <v>10.123179829939737</v>
      </c>
      <c r="K45" s="7">
        <v>0.65001992044743317</v>
      </c>
      <c r="L45" s="7">
        <v>0.21116274534520674</v>
      </c>
      <c r="M45" s="576">
        <v>0.44337148677542576</v>
      </c>
      <c r="N45" s="524">
        <f t="shared" si="1"/>
        <v>0.33710727931082829</v>
      </c>
      <c r="O45" s="525">
        <f t="shared" si="2"/>
        <v>0.1136413177643488</v>
      </c>
      <c r="P45" s="465">
        <f t="shared" si="3"/>
        <v>10.123179829939737</v>
      </c>
      <c r="Q45" s="440">
        <f t="shared" si="20"/>
        <v>9.2716378398968402</v>
      </c>
      <c r="R45" s="440">
        <f t="shared" si="5"/>
        <v>10.974721819982634</v>
      </c>
      <c r="S45" s="466">
        <f t="shared" si="19"/>
        <v>9987.7037000943747</v>
      </c>
      <c r="T45" s="440">
        <f t="shared" si="7"/>
        <v>99754225.200878859</v>
      </c>
      <c r="U45" s="466">
        <f t="shared" si="8"/>
        <v>24913.866872239698</v>
      </c>
      <c r="V45" s="467">
        <f t="shared" si="9"/>
        <v>10632.15139548186</v>
      </c>
      <c r="W45" s="467">
        <f t="shared" si="10"/>
        <v>58379.601591400387</v>
      </c>
      <c r="X45" s="468">
        <f t="shared" si="11"/>
        <v>-0.28616774363763076</v>
      </c>
      <c r="Y45" s="468">
        <f t="shared" si="12"/>
        <v>0.28616774363763076</v>
      </c>
      <c r="Z45" s="471">
        <f t="shared" si="13"/>
        <v>12.511596953312337</v>
      </c>
      <c r="AA45" s="471">
        <f t="shared" si="14"/>
        <v>10.131547976857071</v>
      </c>
      <c r="AB45" s="473">
        <f t="shared" si="15"/>
        <v>10.460287109250565</v>
      </c>
      <c r="AC45" s="801">
        <f t="shared" si="16"/>
        <v>99</v>
      </c>
      <c r="AD45" s="435">
        <f t="shared" si="17"/>
        <v>9.2800059868141744</v>
      </c>
      <c r="AE45" s="441">
        <f t="shared" si="18"/>
        <v>10.983089966899968</v>
      </c>
      <c r="AH45" s="54" t="s">
        <v>182</v>
      </c>
      <c r="AI45" s="510">
        <f t="shared" si="21"/>
        <v>0</v>
      </c>
    </row>
    <row r="46" spans="1:35">
      <c r="A46" s="134">
        <v>1995</v>
      </c>
      <c r="B46" s="440">
        <f t="shared" si="0"/>
        <v>2000</v>
      </c>
      <c r="C46" s="458">
        <f>VLOOKUP($A46,'Brd Tbl'!$A$8:$AX$64,17)</f>
        <v>12.2982204445282</v>
      </c>
      <c r="D46" s="458">
        <f>VLOOKUP($A46,'Brd Tbl'!$A$8:$AX$64,28)</f>
        <v>9.1049258695616349</v>
      </c>
      <c r="E46" s="7">
        <v>47</v>
      </c>
      <c r="F46" s="7">
        <v>45</v>
      </c>
      <c r="G46" s="576">
        <v>3.8978016526724693</v>
      </c>
      <c r="H46" s="576">
        <v>0.4998831053852773</v>
      </c>
      <c r="I46" s="577">
        <v>0.13860024866527981</v>
      </c>
      <c r="J46" s="7">
        <v>10.045474279195931</v>
      </c>
      <c r="K46" s="7">
        <v>0.63698128836018386</v>
      </c>
      <c r="L46" s="7">
        <v>0.22424427924169338</v>
      </c>
      <c r="M46" s="576">
        <v>0.42696744436901607</v>
      </c>
      <c r="N46" s="524">
        <f t="shared" si="1"/>
        <v>-0.94054840963429598</v>
      </c>
      <c r="O46" s="525">
        <f t="shared" si="2"/>
        <v>0.88463131086560343</v>
      </c>
      <c r="P46" s="465">
        <f t="shared" si="3"/>
        <v>10.045474279195931</v>
      </c>
      <c r="Q46" s="440">
        <f t="shared" si="20"/>
        <v>9.193932289153036</v>
      </c>
      <c r="R46" s="440">
        <f t="shared" si="5"/>
        <v>10.897016269238826</v>
      </c>
      <c r="S46" s="466">
        <f t="shared" si="19"/>
        <v>-14051.712869626695</v>
      </c>
      <c r="T46" s="440">
        <f t="shared" si="7"/>
        <v>197450634.57043251</v>
      </c>
      <c r="U46" s="466">
        <f t="shared" si="8"/>
        <v>23051.227001931529</v>
      </c>
      <c r="V46" s="467">
        <f t="shared" si="9"/>
        <v>9837.2579653317953</v>
      </c>
      <c r="W46" s="467">
        <f t="shared" si="10"/>
        <v>54014.957030422389</v>
      </c>
      <c r="X46" s="468">
        <f t="shared" si="11"/>
        <v>1.5613857218342921</v>
      </c>
      <c r="Y46" s="468">
        <f t="shared" si="12"/>
        <v>1.5613857218342921</v>
      </c>
      <c r="Z46" s="471">
        <f t="shared" si="13"/>
        <v>12.2982204445282</v>
      </c>
      <c r="AA46" s="471">
        <f t="shared" si="14"/>
        <v>10.025615790719243</v>
      </c>
      <c r="AB46" s="473">
        <f t="shared" si="15"/>
        <v>9.1049258695616349</v>
      </c>
      <c r="AC46" s="976" t="s">
        <v>315</v>
      </c>
      <c r="AD46" s="435">
        <f t="shared" si="17"/>
        <v>9.1740738006763465</v>
      </c>
      <c r="AE46" s="441">
        <f t="shared" si="18"/>
        <v>10.87715778076214</v>
      </c>
      <c r="AH46" s="54" t="s">
        <v>182</v>
      </c>
      <c r="AI46" s="510">
        <f t="shared" si="21"/>
        <v>0</v>
      </c>
    </row>
    <row r="47" spans="1:35">
      <c r="A47" s="134">
        <v>1996</v>
      </c>
      <c r="B47" s="440">
        <f t="shared" si="0"/>
        <v>2001</v>
      </c>
      <c r="C47" s="458">
        <f>VLOOKUP($A47,'Brd Tbl'!$A$8:$AX$64,17)</f>
        <v>11.24254472532397</v>
      </c>
      <c r="D47" s="458">
        <f>VLOOKUP($A47,'Brd Tbl'!$A$8:$AX$64,28)</f>
        <v>8.933054979268606</v>
      </c>
      <c r="E47" s="7">
        <v>47</v>
      </c>
      <c r="F47" s="7">
        <v>45</v>
      </c>
      <c r="G47" s="576">
        <v>4.2773952642445563</v>
      </c>
      <c r="H47" s="576">
        <v>0.46825736048517458</v>
      </c>
      <c r="I47" s="577">
        <v>0.14391072102869676</v>
      </c>
      <c r="J47" s="7">
        <v>9.5417995824612802</v>
      </c>
      <c r="K47" s="7">
        <v>0.64598652514426758</v>
      </c>
      <c r="L47" s="7">
        <v>0.19046175592058537</v>
      </c>
      <c r="M47" s="576">
        <v>0.4379049192402798</v>
      </c>
      <c r="N47" s="524">
        <f t="shared" si="1"/>
        <v>-0.60874460319267421</v>
      </c>
      <c r="O47" s="525">
        <f t="shared" si="2"/>
        <v>0.37056999191620638</v>
      </c>
      <c r="P47" s="465">
        <f t="shared" si="3"/>
        <v>9.5417995824612802</v>
      </c>
      <c r="Q47" s="440">
        <f t="shared" si="20"/>
        <v>8.6902575924183836</v>
      </c>
      <c r="R47" s="440">
        <f t="shared" si="5"/>
        <v>10.393341572504177</v>
      </c>
      <c r="S47" s="466">
        <f t="shared" si="19"/>
        <v>-6351.6114059921174</v>
      </c>
      <c r="T47" s="440">
        <f t="shared" si="7"/>
        <v>40342967.452729166</v>
      </c>
      <c r="U47" s="466">
        <f t="shared" si="8"/>
        <v>13929.993253527518</v>
      </c>
      <c r="V47" s="467">
        <f t="shared" si="9"/>
        <v>5944.7133585903739</v>
      </c>
      <c r="W47" s="467">
        <f t="shared" si="10"/>
        <v>32641.559035461141</v>
      </c>
      <c r="X47" s="468">
        <f t="shared" si="11"/>
        <v>0.83812237675220247</v>
      </c>
      <c r="Y47" s="468">
        <f t="shared" si="12"/>
        <v>0.83812237675220247</v>
      </c>
      <c r="Z47" s="471">
        <f t="shared" si="13"/>
        <v>11.24254472532397</v>
      </c>
      <c r="AA47" s="471">
        <f t="shared" si="14"/>
        <v>9.5015185626543683</v>
      </c>
      <c r="AB47" s="473">
        <f t="shared" si="15"/>
        <v>8.933054979268606</v>
      </c>
      <c r="AC47" s="976" t="s">
        <v>316</v>
      </c>
      <c r="AD47" s="435">
        <f t="shared" si="17"/>
        <v>8.6499765726114717</v>
      </c>
      <c r="AE47" s="441">
        <f t="shared" si="18"/>
        <v>10.353060552697265</v>
      </c>
      <c r="AH47" s="54" t="s">
        <v>182</v>
      </c>
      <c r="AI47" s="510">
        <f t="shared" si="21"/>
        <v>0</v>
      </c>
    </row>
    <row r="48" spans="1:35">
      <c r="A48" s="134">
        <v>1997</v>
      </c>
      <c r="B48" s="440">
        <f t="shared" si="0"/>
        <v>2002</v>
      </c>
      <c r="C48" s="458">
        <f>VLOOKUP($A48,'Brd Tbl'!$A$8:$AX$64,17)</f>
        <v>11.519344460525044</v>
      </c>
      <c r="D48" s="458">
        <f>VLOOKUP($A48,'Brd Tbl'!$A$8:$AX$64,28)</f>
        <v>9.3153891456982763</v>
      </c>
      <c r="E48" s="7">
        <v>47</v>
      </c>
      <c r="F48" s="7">
        <v>45</v>
      </c>
      <c r="G48" s="576">
        <v>4.0645691645190158</v>
      </c>
      <c r="H48" s="576">
        <v>0.48521109632055232</v>
      </c>
      <c r="I48" s="577">
        <v>0.14313657959659026</v>
      </c>
      <c r="J48" s="7">
        <v>9.6538829191044542</v>
      </c>
      <c r="K48" s="7">
        <v>0.65004216223670408</v>
      </c>
      <c r="L48" s="7">
        <v>0.20341381118553331</v>
      </c>
      <c r="M48" s="576">
        <v>0.44335155662924691</v>
      </c>
      <c r="N48" s="524">
        <f t="shared" si="1"/>
        <v>-0.33849377340617792</v>
      </c>
      <c r="O48" s="525">
        <f t="shared" si="2"/>
        <v>0.11457803463475293</v>
      </c>
      <c r="P48" s="465">
        <f t="shared" si="3"/>
        <v>9.6538829191044542</v>
      </c>
      <c r="Q48" s="440">
        <f t="shared" si="20"/>
        <v>8.8023409290615575</v>
      </c>
      <c r="R48" s="440">
        <f t="shared" si="5"/>
        <v>10.505424909147351</v>
      </c>
      <c r="S48" s="466">
        <f t="shared" si="19"/>
        <v>-4474.5272631542539</v>
      </c>
      <c r="T48" s="440">
        <f t="shared" si="7"/>
        <v>20021394.228710696</v>
      </c>
      <c r="U48" s="466">
        <f t="shared" si="8"/>
        <v>15582.175114829093</v>
      </c>
      <c r="V48" s="467">
        <f t="shared" si="9"/>
        <v>6649.7924927251297</v>
      </c>
      <c r="W48" s="467">
        <f t="shared" si="10"/>
        <v>36513.046320592213</v>
      </c>
      <c r="X48" s="468">
        <f t="shared" si="11"/>
        <v>0.40283301405522803</v>
      </c>
      <c r="Y48" s="468">
        <f t="shared" si="12"/>
        <v>0.40283301405522803</v>
      </c>
      <c r="Z48" s="471">
        <f t="shared" si="13"/>
        <v>11.519344460525044</v>
      </c>
      <c r="AA48" s="471">
        <f t="shared" si="14"/>
        <v>9.6389376311324515</v>
      </c>
      <c r="AB48" s="473">
        <f t="shared" si="15"/>
        <v>9.3153891456982763</v>
      </c>
      <c r="AC48" s="976" t="s">
        <v>324</v>
      </c>
      <c r="AD48" s="435">
        <f t="shared" si="17"/>
        <v>8.7873956410895566</v>
      </c>
      <c r="AE48" s="441">
        <f t="shared" si="18"/>
        <v>10.490479621175346</v>
      </c>
      <c r="AH48" s="54" t="s">
        <v>182</v>
      </c>
      <c r="AI48" s="510">
        <f t="shared" ref="AI48:AI53" si="22">X71</f>
        <v>0</v>
      </c>
    </row>
    <row r="49" spans="1:35">
      <c r="A49" s="134">
        <v>1998</v>
      </c>
      <c r="B49" s="440">
        <f t="shared" si="0"/>
        <v>2003</v>
      </c>
      <c r="C49" s="458">
        <f>VLOOKUP($A49,'Brd Tbl'!$A$8:$AX$64,17)</f>
        <v>12.791219118371064</v>
      </c>
      <c r="D49" s="458">
        <f>VLOOKUP($A49,'Brd Tbl'!$A$8:$AX$64,28)</f>
        <v>9.4965134534434341</v>
      </c>
      <c r="E49" s="7">
        <v>47</v>
      </c>
      <c r="F49" s="7">
        <v>45</v>
      </c>
      <c r="G49" s="576">
        <v>3.6720864770803807</v>
      </c>
      <c r="H49" s="576">
        <v>0.5181175791088366</v>
      </c>
      <c r="I49" s="577">
        <v>0.14061399856856621</v>
      </c>
      <c r="J49" s="7">
        <v>10.299441960541465</v>
      </c>
      <c r="K49" s="7">
        <v>0.6412338043785315</v>
      </c>
      <c r="L49" s="7">
        <v>0.23177863717973388</v>
      </c>
      <c r="M49" s="576">
        <v>0.43207248954678057</v>
      </c>
      <c r="N49" s="524">
        <f t="shared" si="1"/>
        <v>-0.80292850709803076</v>
      </c>
      <c r="O49" s="525">
        <f t="shared" si="2"/>
        <v>0.64469418751067242</v>
      </c>
      <c r="P49" s="465">
        <f t="shared" si="3"/>
        <v>10.299441960541465</v>
      </c>
      <c r="Q49" s="440">
        <f t="shared" si="20"/>
        <v>9.4478999704985682</v>
      </c>
      <c r="R49" s="440">
        <f t="shared" si="5"/>
        <v>11.150983950584362</v>
      </c>
      <c r="S49" s="466">
        <f t="shared" si="19"/>
        <v>-16402.802880727711</v>
      </c>
      <c r="T49" s="440">
        <f t="shared" si="7"/>
        <v>269051942.34400928</v>
      </c>
      <c r="U49" s="466">
        <f t="shared" si="8"/>
        <v>29716.031506993131</v>
      </c>
      <c r="V49" s="467">
        <f t="shared" si="9"/>
        <v>12681.505744389377</v>
      </c>
      <c r="W49" s="467">
        <f t="shared" si="10"/>
        <v>69632.309153452778</v>
      </c>
      <c r="X49" s="468">
        <f t="shared" si="11"/>
        <v>1.2320679935118766</v>
      </c>
      <c r="Y49" s="468">
        <f t="shared" si="12"/>
        <v>1.2320679935118766</v>
      </c>
      <c r="Z49" s="471">
        <f t="shared" si="13"/>
        <v>12.791219118371064</v>
      </c>
      <c r="AA49" s="471">
        <f t="shared" si="14"/>
        <v>10.270368259399183</v>
      </c>
      <c r="AB49" s="473">
        <f t="shared" si="15"/>
        <v>9.4965134534434341</v>
      </c>
      <c r="AC49" s="976" t="s">
        <v>349</v>
      </c>
      <c r="AD49" s="435">
        <f t="shared" si="17"/>
        <v>9.4188262693562876</v>
      </c>
      <c r="AE49" s="441">
        <f t="shared" si="18"/>
        <v>11.121910249442077</v>
      </c>
      <c r="AH49" s="54" t="s">
        <v>182</v>
      </c>
      <c r="AI49" s="510">
        <f t="shared" si="22"/>
        <v>0</v>
      </c>
    </row>
    <row r="50" spans="1:35">
      <c r="A50" s="134">
        <v>1999</v>
      </c>
      <c r="B50" s="440">
        <f t="shared" si="0"/>
        <v>2004</v>
      </c>
      <c r="C50" s="458">
        <f>VLOOKUP($A50,'Brd Tbl'!$A$8:$AX$64,17)</f>
        <v>12.514228118178037</v>
      </c>
      <c r="D50" s="458">
        <f>VLOOKUP($A50,'Brd Tbl'!$A$8:$AX$64,28)</f>
        <v>11.181371948983598</v>
      </c>
      <c r="E50" s="7">
        <v>47</v>
      </c>
      <c r="F50" s="7">
        <v>45</v>
      </c>
      <c r="G50" s="576">
        <v>4.0799121397029285</v>
      </c>
      <c r="H50" s="576">
        <v>0.48154561543159302</v>
      </c>
      <c r="I50" s="577">
        <v>0.13787074429863189</v>
      </c>
      <c r="J50" s="7">
        <v>10.106083820522318</v>
      </c>
      <c r="K50" s="7">
        <v>0.6324033008111698</v>
      </c>
      <c r="L50" s="7">
        <v>0.21327542967943794</v>
      </c>
      <c r="M50" s="576">
        <v>0.42118843908509784</v>
      </c>
      <c r="N50" s="524">
        <f t="shared" si="1"/>
        <v>1.0752881284612794</v>
      </c>
      <c r="O50" s="525">
        <f t="shared" si="2"/>
        <v>1.156244559209761</v>
      </c>
      <c r="P50" s="465">
        <f t="shared" si="3"/>
        <v>10.106083820522318</v>
      </c>
      <c r="Q50" s="440">
        <f t="shared" si="20"/>
        <v>9.2545418304794218</v>
      </c>
      <c r="R50" s="440">
        <f t="shared" si="5"/>
        <v>10.957625810565215</v>
      </c>
      <c r="S50" s="466">
        <f t="shared" si="19"/>
        <v>47289.214757885595</v>
      </c>
      <c r="T50" s="440">
        <f t="shared" si="7"/>
        <v>2236269832.4174247</v>
      </c>
      <c r="U50" s="466">
        <f t="shared" si="8"/>
        <v>24491.55934205039</v>
      </c>
      <c r="V50" s="467">
        <f t="shared" si="9"/>
        <v>10451.928966765756</v>
      </c>
      <c r="W50" s="467">
        <f t="shared" si="10"/>
        <v>57390.026368576546</v>
      </c>
      <c r="X50" s="468">
        <f t="shared" si="11"/>
        <v>-0.65880056813050958</v>
      </c>
      <c r="Y50" s="468">
        <f t="shared" si="12"/>
        <v>0.65880056813050958</v>
      </c>
      <c r="Z50" s="471">
        <f t="shared" si="13"/>
        <v>12.514228118178037</v>
      </c>
      <c r="AA50" s="471">
        <f t="shared" si="14"/>
        <v>10.132854236144473</v>
      </c>
      <c r="AB50" s="473">
        <f t="shared" si="15"/>
        <v>11.181371948983598</v>
      </c>
      <c r="AC50" s="976" t="s">
        <v>350</v>
      </c>
      <c r="AD50" s="435">
        <f t="shared" si="17"/>
        <v>9.281312246101578</v>
      </c>
      <c r="AE50" s="441">
        <f t="shared" si="18"/>
        <v>10.984396226187368</v>
      </c>
      <c r="AH50" s="54" t="s">
        <v>182</v>
      </c>
      <c r="AI50" s="510">
        <f t="shared" si="22"/>
        <v>0</v>
      </c>
    </row>
    <row r="51" spans="1:35">
      <c r="A51" s="134">
        <v>2000</v>
      </c>
      <c r="B51" s="440">
        <f t="shared" si="0"/>
        <v>2005</v>
      </c>
      <c r="C51" s="458">
        <f>VLOOKUP($A51,'Brd Tbl'!$A$8:$AX$64,17)</f>
        <v>13.125935222752243</v>
      </c>
      <c r="D51" s="458">
        <f>VLOOKUP($A51,'Brd Tbl'!$A$8:$AX$64,28)</f>
        <v>10.787155626946394</v>
      </c>
      <c r="E51" s="7">
        <v>47</v>
      </c>
      <c r="F51" s="7">
        <v>45</v>
      </c>
      <c r="G51" s="576">
        <v>4.1074200989431775</v>
      </c>
      <c r="H51" s="576">
        <v>0.48049226050488758</v>
      </c>
      <c r="I51" s="577">
        <v>0.14422480345685459</v>
      </c>
      <c r="J51" s="7">
        <v>10.414330385364128</v>
      </c>
      <c r="K51" s="7">
        <v>0.64967970694067811</v>
      </c>
      <c r="L51" s="7">
        <v>0.19784996391677032</v>
      </c>
      <c r="M51" s="576">
        <v>0.4428319688393294</v>
      </c>
      <c r="N51" s="524">
        <f t="shared" si="1"/>
        <v>0.37282524158226593</v>
      </c>
      <c r="O51" s="525">
        <f t="shared" si="2"/>
        <v>0.13899866076087494</v>
      </c>
      <c r="P51" s="465">
        <f t="shared" si="3"/>
        <v>10.414330385364128</v>
      </c>
      <c r="Q51" s="440">
        <f t="shared" si="20"/>
        <v>9.5627883953212311</v>
      </c>
      <c r="R51" s="440">
        <f t="shared" si="5"/>
        <v>11.265872375407024</v>
      </c>
      <c r="S51" s="466">
        <f t="shared" si="19"/>
        <v>15061.279123040571</v>
      </c>
      <c r="T51" s="440">
        <f t="shared" si="7"/>
        <v>226842128.82213774</v>
      </c>
      <c r="U51" s="466">
        <f t="shared" si="8"/>
        <v>33333.906973669531</v>
      </c>
      <c r="V51" s="467">
        <f t="shared" si="9"/>
        <v>14225.457146592767</v>
      </c>
      <c r="W51" s="467">
        <f t="shared" si="10"/>
        <v>78109.922421395982</v>
      </c>
      <c r="X51" s="468">
        <f t="shared" si="11"/>
        <v>-0.31121440659289945</v>
      </c>
      <c r="Y51" s="468">
        <f t="shared" si="12"/>
        <v>0.31121440659289945</v>
      </c>
      <c r="Z51" s="471">
        <f t="shared" si="13"/>
        <v>13.125935222752243</v>
      </c>
      <c r="AA51" s="471">
        <f t="shared" si="14"/>
        <v>10.436540294337227</v>
      </c>
      <c r="AB51" s="473">
        <f t="shared" si="15"/>
        <v>10.787155626946394</v>
      </c>
      <c r="AC51" s="976" t="s">
        <v>351</v>
      </c>
      <c r="AD51" s="435">
        <f t="shared" si="17"/>
        <v>9.5849983042943308</v>
      </c>
      <c r="AE51" s="441">
        <f t="shared" si="18"/>
        <v>11.288082284380124</v>
      </c>
      <c r="AH51" s="54" t="s">
        <v>182</v>
      </c>
      <c r="AI51" s="510">
        <f t="shared" si="22"/>
        <v>0</v>
      </c>
    </row>
    <row r="52" spans="1:35">
      <c r="A52" s="134">
        <v>2001</v>
      </c>
      <c r="B52" s="440">
        <f t="shared" si="0"/>
        <v>2006</v>
      </c>
      <c r="C52" s="458">
        <f>VLOOKUP($A52,'Brd Tbl'!$A$8:$AX$64,17)</f>
        <v>12.461291763994264</v>
      </c>
      <c r="D52" s="458">
        <f>VLOOKUP($A52,'Brd Tbl'!$A$8:$AX$64,28)</f>
        <v>10.971602358695069</v>
      </c>
      <c r="E52" s="7">
        <v>47</v>
      </c>
      <c r="F52" s="7">
        <v>45</v>
      </c>
      <c r="G52" s="576">
        <v>4.0246346361658771</v>
      </c>
      <c r="H52" s="576">
        <v>0.48639152395026397</v>
      </c>
      <c r="I52" s="577">
        <v>0.13915187424454753</v>
      </c>
      <c r="J52" s="7">
        <v>10.085701327643921</v>
      </c>
      <c r="K52" s="7">
        <v>0.63871669736203862</v>
      </c>
      <c r="L52" s="7">
        <v>0.21353178765418993</v>
      </c>
      <c r="M52" s="576">
        <v>0.42909107573174199</v>
      </c>
      <c r="N52" s="524">
        <f t="shared" si="1"/>
        <v>0.88590103105114792</v>
      </c>
      <c r="O52" s="525">
        <f t="shared" si="2"/>
        <v>0.78482063681748693</v>
      </c>
      <c r="P52" s="465">
        <f t="shared" si="3"/>
        <v>10.085701327643921</v>
      </c>
      <c r="Q52" s="440">
        <f t="shared" si="20"/>
        <v>9.2341593376010245</v>
      </c>
      <c r="R52" s="440">
        <f t="shared" si="5"/>
        <v>10.937243317686818</v>
      </c>
      <c r="S52" s="466">
        <f t="shared" si="19"/>
        <v>34200.359057276903</v>
      </c>
      <c r="T52" s="440">
        <f t="shared" si="7"/>
        <v>1169664559.6466622</v>
      </c>
      <c r="U52" s="466">
        <f t="shared" si="8"/>
        <v>23997.413378929818</v>
      </c>
      <c r="V52" s="467">
        <f t="shared" si="9"/>
        <v>10241.049029166899</v>
      </c>
      <c r="W52" s="467">
        <f t="shared" si="10"/>
        <v>56232.115209987118</v>
      </c>
      <c r="X52" s="468">
        <f t="shared" si="11"/>
        <v>-0.58765752752419353</v>
      </c>
      <c r="Y52" s="468">
        <f t="shared" si="12"/>
        <v>0.58765752752419353</v>
      </c>
      <c r="Z52" s="471">
        <f t="shared" si="13"/>
        <v>12.461291763994264</v>
      </c>
      <c r="AA52" s="471">
        <f t="shared" si="14"/>
        <v>10.106573631232493</v>
      </c>
      <c r="AB52" s="473">
        <f t="shared" si="15"/>
        <v>10.971602358695069</v>
      </c>
      <c r="AC52" s="976" t="s">
        <v>361</v>
      </c>
      <c r="AD52" s="435">
        <f t="shared" si="17"/>
        <v>9.2550316411895963</v>
      </c>
      <c r="AE52" s="441">
        <f t="shared" si="18"/>
        <v>10.95811562127539</v>
      </c>
      <c r="AH52" s="54" t="s">
        <v>182</v>
      </c>
      <c r="AI52" s="510">
        <f t="shared" si="22"/>
        <v>0</v>
      </c>
    </row>
    <row r="53" spans="1:35">
      <c r="A53" s="134">
        <v>2002</v>
      </c>
      <c r="B53" s="440">
        <f t="shared" si="0"/>
        <v>2007</v>
      </c>
      <c r="C53" s="458">
        <f>VLOOKUP($A53,'Brd Tbl'!$A$8:$AX$64,17)</f>
        <v>12.90210788889968</v>
      </c>
      <c r="D53" s="458">
        <f>VLOOKUP($A53,'Brd Tbl'!$A$8:$AX$64,28)</f>
        <v>9.640021832322569</v>
      </c>
      <c r="E53" s="7">
        <v>47</v>
      </c>
      <c r="F53" s="7">
        <v>45</v>
      </c>
      <c r="G53" s="576">
        <v>3.6529992175500849</v>
      </c>
      <c r="H53" s="576">
        <v>0.51953124622878077</v>
      </c>
      <c r="I53" s="577">
        <v>0.14159238630104853</v>
      </c>
      <c r="J53" s="7">
        <v>10.356047408048319</v>
      </c>
      <c r="K53" s="7">
        <v>0.64349261062297125</v>
      </c>
      <c r="L53" s="7">
        <v>0.23028309343624354</v>
      </c>
      <c r="M53" s="576">
        <v>0.43488103342799928</v>
      </c>
      <c r="N53" s="524">
        <f t="shared" si="1"/>
        <v>-0.71602557572574987</v>
      </c>
      <c r="O53" s="525">
        <f t="shared" si="2"/>
        <v>0.51269262509339153</v>
      </c>
      <c r="P53" s="465">
        <f t="shared" si="3"/>
        <v>10.356047408048319</v>
      </c>
      <c r="Q53" s="440">
        <f t="shared" si="20"/>
        <v>9.5045054180054223</v>
      </c>
      <c r="R53" s="440">
        <f t="shared" si="5"/>
        <v>11.207589398091216</v>
      </c>
      <c r="S53" s="466">
        <f t="shared" si="19"/>
        <v>-16078.960378196183</v>
      </c>
      <c r="T53" s="440">
        <f t="shared" si="7"/>
        <v>258532966.84360275</v>
      </c>
      <c r="U53" s="466">
        <f t="shared" si="8"/>
        <v>31446.639618714005</v>
      </c>
      <c r="V53" s="467">
        <f t="shared" si="9"/>
        <v>13420.053780486</v>
      </c>
      <c r="W53" s="467">
        <f t="shared" si="10"/>
        <v>73687.569326079189</v>
      </c>
      <c r="X53" s="468">
        <f t="shared" si="11"/>
        <v>1.0462842259098579</v>
      </c>
      <c r="Y53" s="468">
        <f t="shared" si="12"/>
        <v>1.0462842259098579</v>
      </c>
      <c r="Z53" s="471">
        <f t="shared" si="13"/>
        <v>12.90210788889968</v>
      </c>
      <c r="AA53" s="471">
        <f t="shared" si="14"/>
        <v>10.32541972662567</v>
      </c>
      <c r="AB53" s="473">
        <f t="shared" si="15"/>
        <v>9.640021832322569</v>
      </c>
      <c r="AC53" s="976" t="s">
        <v>362</v>
      </c>
      <c r="AD53" s="435">
        <f t="shared" si="17"/>
        <v>9.4738777365827751</v>
      </c>
      <c r="AE53" s="441">
        <f t="shared" si="18"/>
        <v>11.176961716668565</v>
      </c>
      <c r="AH53" s="54" t="s">
        <v>182</v>
      </c>
      <c r="AI53" s="510">
        <f t="shared" si="22"/>
        <v>0</v>
      </c>
    </row>
    <row r="54" spans="1:35">
      <c r="A54" s="134">
        <v>2003</v>
      </c>
      <c r="B54" s="440">
        <f t="shared" si="0"/>
        <v>2008</v>
      </c>
      <c r="C54" s="458">
        <f>VLOOKUP($A54,'Brd Tbl'!$A$8:$AX$64,17)</f>
        <v>11.881020630189884</v>
      </c>
      <c r="D54" s="458">
        <f>VLOOKUP($A54,'Brd Tbl'!$A$8:$AX$64,28)</f>
        <v>9.6421994068747559</v>
      </c>
      <c r="E54" s="7">
        <v>47</v>
      </c>
      <c r="F54" s="7">
        <v>45</v>
      </c>
      <c r="G54" s="576">
        <v>3.9594881667181676</v>
      </c>
      <c r="H54" s="576">
        <v>0.49354093889250211</v>
      </c>
      <c r="I54" s="577">
        <v>0.14210831925571374</v>
      </c>
      <c r="J54" s="7">
        <v>9.82325824354327</v>
      </c>
      <c r="K54" s="7">
        <v>0.6513672115701491</v>
      </c>
      <c r="L54" s="7">
        <v>0.21137951616321507</v>
      </c>
      <c r="M54" s="576">
        <v>0.44509189135901278</v>
      </c>
      <c r="N54" s="524">
        <f t="shared" si="1"/>
        <v>-0.18105883666851419</v>
      </c>
      <c r="O54" s="525">
        <f t="shared" si="2"/>
        <v>3.27823023357557E-2</v>
      </c>
      <c r="P54" s="465">
        <f t="shared" si="3"/>
        <v>9.82325824354327</v>
      </c>
      <c r="Q54" s="440">
        <f t="shared" si="20"/>
        <v>8.9717162535003752</v>
      </c>
      <c r="R54" s="440">
        <f t="shared" si="5"/>
        <v>10.674800233586165</v>
      </c>
      <c r="S54" s="466">
        <f t="shared" si="19"/>
        <v>-3056.9138658128049</v>
      </c>
      <c r="T54" s="440">
        <f t="shared" si="7"/>
        <v>9344722.3829985876</v>
      </c>
      <c r="U54" s="466">
        <f t="shared" si="8"/>
        <v>18458.093835500709</v>
      </c>
      <c r="V54" s="467">
        <f t="shared" si="9"/>
        <v>7877.10912711528</v>
      </c>
      <c r="W54" s="467">
        <f t="shared" si="10"/>
        <v>43252.063992278265</v>
      </c>
      <c r="X54" s="468">
        <f t="shared" si="11"/>
        <v>0.19848569212419581</v>
      </c>
      <c r="Y54" s="468">
        <f t="shared" si="12"/>
        <v>0.19848569212419581</v>
      </c>
      <c r="Z54" s="471">
        <f t="shared" si="13"/>
        <v>11.881020630189884</v>
      </c>
      <c r="AA54" s="471">
        <f t="shared" si="14"/>
        <v>9.8184941696889592</v>
      </c>
      <c r="AB54" s="473">
        <f t="shared" si="15"/>
        <v>9.6421994068747559</v>
      </c>
      <c r="AC54" s="976" t="s">
        <v>363</v>
      </c>
      <c r="AD54" s="435">
        <f t="shared" si="17"/>
        <v>8.9669521796460643</v>
      </c>
      <c r="AE54" s="441">
        <f t="shared" si="18"/>
        <v>10.670036159731854</v>
      </c>
      <c r="AH54" s="54" t="s">
        <v>182</v>
      </c>
      <c r="AI54" s="510">
        <f t="shared" ref="AI54:AI59" si="23">X77</f>
        <v>0</v>
      </c>
    </row>
    <row r="55" spans="1:35">
      <c r="A55" s="134">
        <v>2004</v>
      </c>
      <c r="B55" s="440">
        <f t="shared" si="0"/>
        <v>2009</v>
      </c>
      <c r="C55" s="458">
        <f>VLOOKUP($A55,'Brd Tbl'!$A$8:$AX$64,17)</f>
        <v>11.545882550464155</v>
      </c>
      <c r="D55" s="458">
        <f>VLOOKUP($A55,'Brd Tbl'!$A$8:$AX$64,28)</f>
        <v>10.541509658148065</v>
      </c>
      <c r="E55" s="7">
        <v>47</v>
      </c>
      <c r="F55" s="7">
        <v>45</v>
      </c>
      <c r="G55" s="576">
        <v>3.5378810413612678</v>
      </c>
      <c r="H55" s="576">
        <v>0.52614685339479961</v>
      </c>
      <c r="I55" s="577">
        <v>0.1402868386189868</v>
      </c>
      <c r="J55" s="7">
        <v>9.6127108149539069</v>
      </c>
      <c r="K55" s="7">
        <v>0.63767659513238184</v>
      </c>
      <c r="L55" s="7">
        <v>0.23814434774999585</v>
      </c>
      <c r="M55" s="576">
        <v>0.42743476393809682</v>
      </c>
      <c r="N55" s="524">
        <f t="shared" si="1"/>
        <v>0.92879884319415851</v>
      </c>
      <c r="O55" s="525">
        <f t="shared" si="2"/>
        <v>0.86266729111880702</v>
      </c>
      <c r="P55" s="465">
        <f t="shared" si="3"/>
        <v>9.6127108149539069</v>
      </c>
      <c r="Q55" s="440">
        <f t="shared" si="20"/>
        <v>8.7611688249110102</v>
      </c>
      <c r="R55" s="440">
        <f t="shared" si="5"/>
        <v>10.464252804996804</v>
      </c>
      <c r="S55" s="466">
        <f t="shared" si="19"/>
        <v>22901.019174882531</v>
      </c>
      <c r="T55" s="440">
        <f t="shared" si="7"/>
        <v>524456679.24833733</v>
      </c>
      <c r="U55" s="466">
        <f t="shared" si="8"/>
        <v>14953.651776149056</v>
      </c>
      <c r="V55" s="467">
        <f t="shared" si="9"/>
        <v>6381.5661540877536</v>
      </c>
      <c r="W55" s="467">
        <f t="shared" si="10"/>
        <v>35040.254389447939</v>
      </c>
      <c r="X55" s="468">
        <f t="shared" si="11"/>
        <v>-0.60497208401327951</v>
      </c>
      <c r="Y55" s="468">
        <f t="shared" si="12"/>
        <v>0.60497208401327951</v>
      </c>
      <c r="Z55" s="471">
        <f t="shared" si="13"/>
        <v>11.545882550464155</v>
      </c>
      <c r="AA55" s="471">
        <f t="shared" si="14"/>
        <v>9.6521126422861681</v>
      </c>
      <c r="AB55" s="473">
        <f t="shared" si="15"/>
        <v>10.541509658148065</v>
      </c>
      <c r="AC55" s="976" t="s">
        <v>363</v>
      </c>
      <c r="AD55" s="435">
        <f t="shared" si="17"/>
        <v>8.8005706522432732</v>
      </c>
      <c r="AE55" s="441">
        <f t="shared" si="18"/>
        <v>10.503654632329063</v>
      </c>
      <c r="AH55" s="54" t="s">
        <v>182</v>
      </c>
      <c r="AI55" s="510">
        <f t="shared" si="23"/>
        <v>0</v>
      </c>
    </row>
    <row r="56" spans="1:35">
      <c r="A56" s="134">
        <v>2005</v>
      </c>
      <c r="B56" s="440">
        <f t="shared" si="0"/>
        <v>2010</v>
      </c>
      <c r="C56" s="458">
        <f>VLOOKUP($A56,'Brd Tbl'!$A$8:$AX$64,17)</f>
        <v>12.761895949735445</v>
      </c>
      <c r="D56" s="458">
        <f>VLOOKUP($A56,'Brd Tbl'!$A$8:$AX$64,28)</f>
        <v>9.9800919386839855</v>
      </c>
      <c r="E56" s="7">
        <v>47</v>
      </c>
      <c r="F56" s="7">
        <v>45</v>
      </c>
      <c r="G56" s="576">
        <v>3.8367091712954879</v>
      </c>
      <c r="H56" s="576">
        <v>0.50376553513794176</v>
      </c>
      <c r="I56" s="577">
        <v>0.14254688903506707</v>
      </c>
      <c r="J56" s="7">
        <v>10.265712513788696</v>
      </c>
      <c r="K56" s="7">
        <v>0.65056786822308887</v>
      </c>
      <c r="L56" s="7">
        <v>0.21724694365257274</v>
      </c>
      <c r="M56" s="576">
        <v>0.44405366134651514</v>
      </c>
      <c r="N56" s="524">
        <f t="shared" si="1"/>
        <v>-0.28562057510471028</v>
      </c>
      <c r="O56" s="525">
        <f t="shared" si="2"/>
        <v>8.1579112923145444E-2</v>
      </c>
      <c r="P56" s="465">
        <f t="shared" si="3"/>
        <v>10.265712513788696</v>
      </c>
      <c r="Q56" s="440">
        <f t="shared" si="20"/>
        <v>9.4141705237457991</v>
      </c>
      <c r="R56" s="440">
        <f t="shared" si="5"/>
        <v>11.117254503831592</v>
      </c>
      <c r="S56" s="466">
        <f t="shared" si="19"/>
        <v>-7138.1437224651854</v>
      </c>
      <c r="T56" s="440">
        <f t="shared" si="7"/>
        <v>50953095.802569136</v>
      </c>
      <c r="U56" s="466">
        <f t="shared" si="8"/>
        <v>28730.441348345255</v>
      </c>
      <c r="V56" s="467">
        <f t="shared" si="9"/>
        <v>12260.898865723049</v>
      </c>
      <c r="W56" s="467">
        <f t="shared" si="10"/>
        <v>67322.817773036819</v>
      </c>
      <c r="X56" s="468">
        <f t="shared" si="11"/>
        <v>0.33058750143891857</v>
      </c>
      <c r="Y56" s="468">
        <f t="shared" si="12"/>
        <v>0.33058750143891857</v>
      </c>
      <c r="Z56" s="471">
        <f t="shared" si="13"/>
        <v>12.761895949735445</v>
      </c>
      <c r="AA56" s="471">
        <f t="shared" si="14"/>
        <v>10.255810577413666</v>
      </c>
      <c r="AB56" s="473">
        <f t="shared" si="15"/>
        <v>9.9800919386839855</v>
      </c>
      <c r="AC56" s="976" t="s">
        <v>363</v>
      </c>
      <c r="AD56" s="435">
        <f t="shared" si="17"/>
        <v>9.404268587370769</v>
      </c>
      <c r="AE56" s="441">
        <f t="shared" si="18"/>
        <v>11.107352567456562</v>
      </c>
      <c r="AH56" s="54" t="s">
        <v>182</v>
      </c>
      <c r="AI56" s="510">
        <f t="shared" si="23"/>
        <v>0</v>
      </c>
    </row>
    <row r="57" spans="1:35">
      <c r="A57" s="134">
        <v>2006</v>
      </c>
      <c r="B57" s="440">
        <f t="shared" si="0"/>
        <v>2011</v>
      </c>
      <c r="C57" s="458">
        <f>VLOOKUP($A57,'Brd Tbl'!$A$8:$AX$64,17)</f>
        <v>12.923364923755361</v>
      </c>
      <c r="D57" s="458">
        <f>VLOOKUP($A57,'Brd Tbl'!$A$8:$AX$64,28)</f>
        <v>10.783812788447905</v>
      </c>
      <c r="E57" s="7">
        <v>47</v>
      </c>
      <c r="F57" s="7">
        <v>45</v>
      </c>
      <c r="G57" s="576">
        <v>4.1006102556693458</v>
      </c>
      <c r="H57" s="576">
        <v>0.48088632239085632</v>
      </c>
      <c r="I57" s="577">
        <v>0.14275956145502836</v>
      </c>
      <c r="J57" s="7">
        <v>10.315279686769051</v>
      </c>
      <c r="K57" s="7">
        <v>0.64832532843876944</v>
      </c>
      <c r="L57" s="7">
        <v>0.201374730879465</v>
      </c>
      <c r="M57" s="576">
        <v>0.44111867933703297</v>
      </c>
      <c r="N57" s="524">
        <f t="shared" si="1"/>
        <v>0.46853310167885454</v>
      </c>
      <c r="O57" s="525">
        <f t="shared" si="2"/>
        <v>0.21952326736880784</v>
      </c>
      <c r="P57" s="465">
        <f t="shared" si="3"/>
        <v>10.315279686769051</v>
      </c>
      <c r="Q57" s="440">
        <f t="shared" si="20"/>
        <v>9.4637376967261559</v>
      </c>
      <c r="R57" s="440">
        <f t="shared" si="5"/>
        <v>11.166821676811946</v>
      </c>
      <c r="S57" s="466">
        <f t="shared" si="19"/>
        <v>18043.266381079895</v>
      </c>
      <c r="T57" s="440">
        <f t="shared" si="7"/>
        <v>325559461.69860798</v>
      </c>
      <c r="U57" s="466">
        <f t="shared" si="8"/>
        <v>30190.412521036294</v>
      </c>
      <c r="V57" s="467">
        <f t="shared" si="9"/>
        <v>12883.950864061653</v>
      </c>
      <c r="W57" s="467">
        <f t="shared" si="10"/>
        <v>70743.905949902692</v>
      </c>
      <c r="X57" s="468">
        <f t="shared" si="11"/>
        <v>-0.37408024417329422</v>
      </c>
      <c r="Y57" s="468">
        <f t="shared" si="12"/>
        <v>0.37408024417329422</v>
      </c>
      <c r="Z57" s="471">
        <f t="shared" si="13"/>
        <v>12.923364923755361</v>
      </c>
      <c r="AA57" s="471">
        <f t="shared" si="14"/>
        <v>10.335972922879098</v>
      </c>
      <c r="AB57" s="473">
        <f t="shared" si="15"/>
        <v>10.783812788447905</v>
      </c>
      <c r="AC57" s="976" t="s">
        <v>363</v>
      </c>
      <c r="AD57" s="435">
        <f t="shared" si="17"/>
        <v>9.4844309328362009</v>
      </c>
      <c r="AE57" s="441">
        <f t="shared" si="18"/>
        <v>11.187514912921994</v>
      </c>
      <c r="AH57" s="54" t="s">
        <v>182</v>
      </c>
      <c r="AI57" s="510">
        <f t="shared" si="23"/>
        <v>0</v>
      </c>
    </row>
    <row r="58" spans="1:35">
      <c r="A58" s="134">
        <v>2007</v>
      </c>
      <c r="B58" s="440">
        <f t="shared" si="0"/>
        <v>2012</v>
      </c>
      <c r="C58" s="458">
        <f>VLOOKUP($A58,'Brd Tbl'!$A$8:$AX$64,17)</f>
        <v>13.000595114838205</v>
      </c>
      <c r="D58" s="458">
        <f>VLOOKUP($A58,'Brd Tbl'!$A$8:$AX$64,28)</f>
        <v>11.569452927271929</v>
      </c>
      <c r="E58" s="7">
        <v>47</v>
      </c>
      <c r="F58" s="7">
        <v>45</v>
      </c>
      <c r="G58" s="576">
        <v>4.4607739822651951</v>
      </c>
      <c r="H58" s="576">
        <v>0.45007112754907047</v>
      </c>
      <c r="I58" s="577">
        <v>0.13818553293026514</v>
      </c>
      <c r="J58" s="7">
        <v>10.311966484409364</v>
      </c>
      <c r="K58" s="7">
        <v>0.62577268110286999</v>
      </c>
      <c r="L58" s="7">
        <v>0.19076521283235442</v>
      </c>
      <c r="M58" s="576">
        <v>0.41214529877077055</v>
      </c>
      <c r="N58" s="524">
        <f t="shared" si="1"/>
        <v>1.2574864428625645</v>
      </c>
      <c r="O58" s="525">
        <f t="shared" si="2"/>
        <v>1.5812721539831458</v>
      </c>
      <c r="P58" s="465">
        <f t="shared" si="3"/>
        <v>10.311966484409364</v>
      </c>
      <c r="Q58" s="440">
        <f t="shared" si="20"/>
        <v>9.4604244943664675</v>
      </c>
      <c r="R58" s="440">
        <f t="shared" si="5"/>
        <v>11.163508474452261</v>
      </c>
      <c r="S58" s="466">
        <f t="shared" si="19"/>
        <v>75725.016282221564</v>
      </c>
      <c r="T58" s="440">
        <f t="shared" si="7"/>
        <v>5734278090.9427214</v>
      </c>
      <c r="U58" s="466">
        <f t="shared" si="8"/>
        <v>30090.551096935465</v>
      </c>
      <c r="V58" s="467">
        <f t="shared" si="9"/>
        <v>12841.334365183591</v>
      </c>
      <c r="W58" s="467">
        <f t="shared" si="10"/>
        <v>70509.904934193284</v>
      </c>
      <c r="X58" s="468">
        <f t="shared" si="11"/>
        <v>-0.71563209608738032</v>
      </c>
      <c r="Y58" s="468">
        <f t="shared" si="12"/>
        <v>0.71563209608738032</v>
      </c>
      <c r="Z58" s="471">
        <f t="shared" si="13"/>
        <v>13.000595114838205</v>
      </c>
      <c r="AA58" s="471">
        <f t="shared" si="14"/>
        <v>10.374314364605114</v>
      </c>
      <c r="AB58" s="473">
        <f t="shared" si="15"/>
        <v>11.569452927271929</v>
      </c>
      <c r="AC58" s="976" t="s">
        <v>363</v>
      </c>
      <c r="AD58" s="435">
        <f t="shared" si="17"/>
        <v>9.5227723745622193</v>
      </c>
      <c r="AE58" s="441">
        <f t="shared" si="18"/>
        <v>11.225856354648009</v>
      </c>
      <c r="AH58" s="54" t="s">
        <v>182</v>
      </c>
      <c r="AI58" s="510">
        <f t="shared" si="23"/>
        <v>0</v>
      </c>
    </row>
    <row r="59" spans="1:35">
      <c r="A59" s="134">
        <v>2008</v>
      </c>
      <c r="B59" s="440">
        <f t="shared" si="0"/>
        <v>2013</v>
      </c>
      <c r="C59" s="458">
        <f>VLOOKUP($A59,'Brd Tbl'!$A$8:$AX$64,17)</f>
        <v>13.030386808710347</v>
      </c>
      <c r="D59" s="458">
        <f>VLOOKUP($A59,'Brd Tbl'!$A$8:$AX$64,28)</f>
        <v>11.3541796957181</v>
      </c>
      <c r="E59" s="7">
        <v>47</v>
      </c>
      <c r="F59" s="7">
        <v>45</v>
      </c>
      <c r="G59" s="576">
        <v>4.3752626729524176</v>
      </c>
      <c r="H59" s="576">
        <v>0.45747661820520358</v>
      </c>
      <c r="I59" s="577">
        <v>0.1403774080907283</v>
      </c>
      <c r="J59" s="7">
        <v>10.336359964106922</v>
      </c>
      <c r="K59" s="7">
        <v>0.6349490494621608</v>
      </c>
      <c r="L59" s="7">
        <v>0.19094521593682745</v>
      </c>
      <c r="M59" s="576">
        <v>0.42374774872664478</v>
      </c>
      <c r="N59" s="524">
        <f t="shared" si="1"/>
        <v>1.0178197316111781</v>
      </c>
      <c r="O59" s="525">
        <f t="shared" si="2"/>
        <v>1.0359570060570507</v>
      </c>
      <c r="P59" s="465">
        <f t="shared" si="3"/>
        <v>10.336359964106922</v>
      </c>
      <c r="Q59" s="440">
        <f t="shared" si="20"/>
        <v>9.4848179740640255</v>
      </c>
      <c r="R59" s="440">
        <f t="shared" si="5"/>
        <v>11.187901954149819</v>
      </c>
      <c r="S59" s="466">
        <f t="shared" si="19"/>
        <v>54487.734290270921</v>
      </c>
      <c r="T59" s="440">
        <f t="shared" si="7"/>
        <v>2968913188.0871654</v>
      </c>
      <c r="U59" s="466">
        <f t="shared" si="8"/>
        <v>30833.59015370045</v>
      </c>
      <c r="V59" s="467">
        <f t="shared" si="9"/>
        <v>13158.431016008359</v>
      </c>
      <c r="W59" s="467">
        <f t="shared" si="10"/>
        <v>72251.03666309097</v>
      </c>
      <c r="X59" s="468">
        <f t="shared" si="11"/>
        <v>-0.63861800839779281</v>
      </c>
      <c r="Y59" s="468">
        <f t="shared" si="12"/>
        <v>0.63861800839779281</v>
      </c>
      <c r="Z59" s="471">
        <f t="shared" si="13"/>
        <v>13.030386808710347</v>
      </c>
      <c r="AA59" s="471">
        <f t="shared" si="14"/>
        <v>10.389104649058673</v>
      </c>
      <c r="AB59" s="473">
        <f t="shared" si="15"/>
        <v>11.3541796957181</v>
      </c>
      <c r="AC59" s="976" t="s">
        <v>363</v>
      </c>
      <c r="AD59" s="435">
        <f t="shared" si="17"/>
        <v>9.5375626590157765</v>
      </c>
      <c r="AE59" s="441">
        <f t="shared" si="18"/>
        <v>11.24064663910157</v>
      </c>
      <c r="AH59" s="54" t="s">
        <v>182</v>
      </c>
      <c r="AI59" s="510">
        <f t="shared" si="23"/>
        <v>0</v>
      </c>
    </row>
    <row r="60" spans="1:35">
      <c r="A60" s="134">
        <v>2009</v>
      </c>
      <c r="B60" s="440">
        <f t="shared" si="0"/>
        <v>2014</v>
      </c>
      <c r="C60" s="458">
        <f>VLOOKUP($A60,'Brd Tbl'!$A$8:$AX$64,17)</f>
        <v>13.385855647136685</v>
      </c>
      <c r="D60" s="458">
        <f>VLOOKUP($A60,'Brd Tbl'!$A$8:$AX$64,28)</f>
        <v>11.392566663424974</v>
      </c>
      <c r="E60" s="7">
        <v>47</v>
      </c>
      <c r="F60" s="7">
        <v>45</v>
      </c>
      <c r="G60" s="576">
        <v>4.5101381132684741</v>
      </c>
      <c r="H60" s="576">
        <v>0.44663477788566291</v>
      </c>
      <c r="I60" s="577">
        <v>0.1438239233607384</v>
      </c>
      <c r="J60" s="7">
        <v>10.488726777036913</v>
      </c>
      <c r="K60" s="7">
        <v>0.63904480367829852</v>
      </c>
      <c r="L60" s="7">
        <v>0.1764829960351427</v>
      </c>
      <c r="M60" s="578">
        <v>0.42840797140390163</v>
      </c>
      <c r="N60" s="524">
        <f t="shared" si="1"/>
        <v>0.90383988638806123</v>
      </c>
      <c r="O60" s="525">
        <f t="shared" si="2"/>
        <v>0.81692654022598343</v>
      </c>
      <c r="P60" s="465">
        <f t="shared" si="3"/>
        <v>10.488726777036913</v>
      </c>
      <c r="Q60" s="440">
        <f t="shared" si="20"/>
        <v>9.6371847869940162</v>
      </c>
      <c r="R60" s="440">
        <f t="shared" si="5"/>
        <v>11.340268767079809</v>
      </c>
      <c r="S60" s="466">
        <f>EXP(D60)-$E$60</f>
        <v>88613.226537754323</v>
      </c>
      <c r="T60" s="440">
        <f t="shared" si="7"/>
        <v>7852303917.4313669</v>
      </c>
      <c r="U60" s="466">
        <f t="shared" si="8"/>
        <v>35908.408856572911</v>
      </c>
      <c r="V60" s="467">
        <f t="shared" si="9"/>
        <v>15324.142225362362</v>
      </c>
      <c r="W60" s="467">
        <f t="shared" si="10"/>
        <v>84142.642873461969</v>
      </c>
      <c r="X60" s="468">
        <f t="shared" si="11"/>
        <v>-0.59498852801507363</v>
      </c>
      <c r="Y60" s="468">
        <f t="shared" si="12"/>
        <v>0.59498852801507363</v>
      </c>
      <c r="Z60" s="471">
        <f t="shared" si="13"/>
        <v>13.385855647136685</v>
      </c>
      <c r="AA60" s="471">
        <f t="shared" si="14"/>
        <v>10.565579516760582</v>
      </c>
      <c r="AB60" s="473">
        <f t="shared" si="15"/>
        <v>11.392566663424974</v>
      </c>
      <c r="AC60" s="976" t="s">
        <v>476</v>
      </c>
      <c r="AD60" s="435">
        <f t="shared" si="17"/>
        <v>9.7140375267176857</v>
      </c>
      <c r="AE60" s="441">
        <f t="shared" si="18"/>
        <v>11.417121506803479</v>
      </c>
      <c r="AH60" s="54"/>
      <c r="AI60" s="11"/>
    </row>
    <row r="61" spans="1:35">
      <c r="A61" s="134"/>
      <c r="E61" s="7"/>
      <c r="F61" s="7"/>
      <c r="G61" s="7"/>
      <c r="H61" s="7"/>
      <c r="I61" s="7"/>
      <c r="J61" s="7"/>
      <c r="K61" s="7"/>
      <c r="L61" s="7"/>
      <c r="M61" s="7"/>
      <c r="O61" s="247"/>
      <c r="V61" s="2"/>
      <c r="W61" s="2"/>
      <c r="X61" s="47"/>
      <c r="Y61" s="468"/>
      <c r="Z61" s="139"/>
      <c r="AA61" s="139"/>
      <c r="AB61" s="139"/>
      <c r="AC61" s="800"/>
      <c r="AD61" s="23"/>
      <c r="AE61" s="47"/>
    </row>
    <row r="62" spans="1:35">
      <c r="A62" s="134">
        <v>2010</v>
      </c>
      <c r="B62" s="440">
        <f>A62+5</f>
        <v>2015</v>
      </c>
      <c r="C62" s="458">
        <f>VLOOKUP($A62,'Brd Tbl'!$A$8:$AX$64,17)</f>
        <v>13.454435293186728</v>
      </c>
      <c r="D62" s="10"/>
      <c r="E62" s="7">
        <v>48</v>
      </c>
      <c r="F62" s="7">
        <v>46</v>
      </c>
      <c r="G62" s="576">
        <v>3.9200825025551405</v>
      </c>
      <c r="H62" s="576">
        <v>0.49645664717943933</v>
      </c>
      <c r="I62" s="577">
        <v>0.14027849854421975</v>
      </c>
      <c r="J62" s="7">
        <v>10.599626337903342</v>
      </c>
      <c r="K62" s="7">
        <v>0.64478654571402816</v>
      </c>
      <c r="L62" s="896">
        <v>0.21401215512161156</v>
      </c>
      <c r="M62" s="576">
        <v>0.43650210825436164</v>
      </c>
      <c r="N62" s="440">
        <f>D62-$E$62</f>
        <v>-48</v>
      </c>
      <c r="O62" s="523">
        <f>N62^2</f>
        <v>2304</v>
      </c>
      <c r="P62" s="465">
        <f>J62</f>
        <v>10.599626337903342</v>
      </c>
      <c r="Q62" s="440">
        <f>$P62-(SQRT(O65)*Q65)</f>
        <v>9.7400776743982203</v>
      </c>
      <c r="R62" s="440">
        <f>$P62+SQRT(O65)*Q65</f>
        <v>11.459175001408463</v>
      </c>
      <c r="S62" s="466">
        <f>EXP(D62)-$E$62</f>
        <v>-47</v>
      </c>
      <c r="T62" s="440">
        <f>S62^2</f>
        <v>2209</v>
      </c>
      <c r="U62" s="485">
        <f>EXP(P62)</f>
        <v>40119.843364903849</v>
      </c>
      <c r="V62" s="899">
        <f>EXP(Q62)</f>
        <v>16984.860618324954</v>
      </c>
      <c r="W62" s="899">
        <f>EXP(R62)</f>
        <v>94766.855483513413</v>
      </c>
      <c r="X62" s="169"/>
      <c r="Y62" s="227"/>
      <c r="Z62" s="471">
        <f>C62</f>
        <v>13.454435293186728</v>
      </c>
      <c r="AA62" s="471">
        <f>(+G62+H62*C62)</f>
        <v>10.599626337903342</v>
      </c>
      <c r="AB62" s="139"/>
      <c r="AC62" s="799" t="s">
        <v>477</v>
      </c>
      <c r="AD62" s="435">
        <f>AA62-SQRT(O65)*Q65</f>
        <v>9.7400776743982203</v>
      </c>
      <c r="AE62" s="441">
        <f>AA62+SQRT(O65)*Q65</f>
        <v>11.459175001408463</v>
      </c>
      <c r="AF62" s="440">
        <f>AA62</f>
        <v>10.599626337903342</v>
      </c>
    </row>
    <row r="63" spans="1:35">
      <c r="A63" s="26"/>
      <c r="B63" s="42"/>
      <c r="C63" s="180"/>
      <c r="D63" s="42"/>
      <c r="E63" s="42"/>
      <c r="F63" s="42"/>
      <c r="G63" s="42"/>
      <c r="H63" s="174"/>
      <c r="I63" s="42"/>
      <c r="J63" s="42"/>
      <c r="K63" s="42"/>
      <c r="L63" s="42"/>
      <c r="M63" s="42"/>
      <c r="N63" s="42"/>
      <c r="O63" s="42"/>
      <c r="P63" s="42"/>
      <c r="Q63" s="42"/>
      <c r="R63" s="42"/>
      <c r="S63" s="42"/>
      <c r="T63" s="42"/>
      <c r="U63" s="42"/>
      <c r="V63" s="105"/>
      <c r="W63" s="105"/>
      <c r="X63" s="49"/>
      <c r="Z63" s="139"/>
      <c r="AA63" s="49"/>
      <c r="AB63" s="49"/>
      <c r="AC63" s="49"/>
      <c r="AD63" s="42"/>
      <c r="AE63" s="49"/>
    </row>
    <row r="64" spans="1:35">
      <c r="A64" s="23"/>
      <c r="E64" s="54" t="s">
        <v>184</v>
      </c>
      <c r="F64" s="440">
        <f>F60</f>
        <v>45</v>
      </c>
      <c r="G64" s="127"/>
      <c r="H64" s="9"/>
      <c r="M64" s="54" t="s">
        <v>185</v>
      </c>
      <c r="O64" s="924">
        <f>AVERAGE(INDEX(O$13:O$61,COUNT(O$13:O$61)-1,0):INDEX(O$13:O$61,(COUNT(O$13:O$61)-(COUNT(O$13:O$61)-1)),0))</f>
        <v>0.42840797140390163</v>
      </c>
      <c r="P64" s="54" t="s">
        <v>186</v>
      </c>
      <c r="Q64" s="440">
        <f>VLOOKUP(F64,ttab!$A$4:$G$44,4)</f>
        <v>1.3009999999999999</v>
      </c>
      <c r="X64" s="47"/>
      <c r="Y64" s="227"/>
      <c r="Z64" s="36"/>
    </row>
    <row r="65" spans="1:26" ht="15.75">
      <c r="A65" s="23"/>
      <c r="E65" s="54" t="s">
        <v>184</v>
      </c>
      <c r="F65" s="440">
        <f>F62</f>
        <v>46</v>
      </c>
      <c r="G65" s="127"/>
      <c r="M65" s="54" t="s">
        <v>188</v>
      </c>
      <c r="O65" s="897">
        <f>AVERAGEA(O13:O61)</f>
        <v>0.43650210825436164</v>
      </c>
      <c r="P65" s="54" t="s">
        <v>186</v>
      </c>
      <c r="Q65" s="440">
        <f>VLOOKUP(F65,ttab!$A$4:$G$44,4)</f>
        <v>1.3009999999999999</v>
      </c>
      <c r="S65" s="54" t="s">
        <v>189</v>
      </c>
      <c r="T65" s="898">
        <f>AVERAGEA(T13:T61)</f>
        <v>2742737935.2718062</v>
      </c>
      <c r="W65" t="s">
        <v>190</v>
      </c>
      <c r="X65" s="486">
        <f>AVERAGEA(X13:X61)</f>
        <v>0.21940394421910925</v>
      </c>
      <c r="Y65" s="516">
        <f>AVERAGEA(Y13:Y61)</f>
        <v>0.59565987498622575</v>
      </c>
      <c r="Z65" s="23"/>
    </row>
    <row r="66" spans="1:26">
      <c r="A66" s="42"/>
      <c r="B66" s="42"/>
      <c r="C66" s="42"/>
      <c r="D66" s="42"/>
      <c r="E66" s="42"/>
      <c r="F66" s="42"/>
      <c r="G66" s="141"/>
      <c r="H66" s="42"/>
      <c r="I66" s="42"/>
      <c r="J66" s="42"/>
      <c r="K66" s="42"/>
      <c r="L66" s="42"/>
      <c r="M66" s="42"/>
      <c r="N66" s="42"/>
      <c r="O66" s="42"/>
      <c r="P66" s="42"/>
      <c r="Q66" s="42"/>
      <c r="R66" s="42"/>
      <c r="S66" s="42"/>
      <c r="T66" s="42"/>
      <c r="U66" s="42"/>
      <c r="V66" s="42"/>
      <c r="W66" s="42"/>
      <c r="X66" s="49"/>
      <c r="Y66" s="227"/>
    </row>
    <row r="68" spans="1:26" ht="15" customHeight="1"/>
    <row r="69" spans="1:26" ht="15" customHeight="1"/>
    <row r="70" spans="1:26" ht="15" customHeight="1"/>
    <row r="71" spans="1:26" ht="15" customHeight="1"/>
    <row r="72" spans="1:26" ht="15" customHeight="1"/>
    <row r="73" spans="1:26" ht="15" customHeight="1"/>
    <row r="74" spans="1:26" ht="15" customHeight="1"/>
    <row r="75" spans="1:26" ht="15" customHeight="1"/>
    <row r="76" spans="1:26" ht="15" customHeight="1"/>
    <row r="77" spans="1:26" ht="15" customHeight="1"/>
    <row r="78" spans="1:26" ht="15" customHeight="1"/>
    <row r="79" spans="1:26" ht="15" customHeight="1"/>
    <row r="80" spans="1:26" ht="15" customHeight="1"/>
    <row r="81" ht="15" customHeight="1"/>
    <row r="82" ht="15" customHeight="1"/>
    <row r="83" ht="15" customHeight="1"/>
    <row r="84" ht="15" customHeight="1"/>
    <row r="85" ht="15" customHeight="1"/>
    <row r="86" ht="15" customHeight="1"/>
    <row r="87" ht="15" customHeight="1"/>
    <row r="88" ht="15" customHeight="1"/>
  </sheetData>
  <sortState ref="A13:AE60">
    <sortCondition ref="B13"/>
  </sortState>
  <phoneticPr fontId="60" type="noConversion"/>
  <pageMargins left="0.55000000000000004" right="0.50800000000000001" top="0.5" bottom="1" header="0.5" footer="0.5"/>
  <pageSetup scale="37" orientation="portrait" horizontalDpi="300" verticalDpi="300" r:id="rId1"/>
  <headerFooter alignWithMargins="0"/>
  <rowBreaks count="1" manualBreakCount="1">
    <brk id="88" max="16383" man="1"/>
  </rowBreaks>
  <drawing r:id="rId2"/>
  <legacyDrawing r:id="rId3"/>
  <controls>
    <mc:AlternateContent xmlns:mc="http://schemas.openxmlformats.org/markup-compatibility/2006">
      <mc:Choice Requires="x14">
        <control shapeId="12310" r:id="rId4" name="CommandButton1">
          <controlPr defaultSize="0" autoLine="0" r:id="rId5">
            <anchor moveWithCells="1">
              <from>
                <xdr:col>8</xdr:col>
                <xdr:colOff>247650</xdr:colOff>
                <xdr:row>2</xdr:row>
                <xdr:rowOff>0</xdr:rowOff>
              </from>
              <to>
                <xdr:col>12</xdr:col>
                <xdr:colOff>466725</xdr:colOff>
                <xdr:row>6</xdr:row>
                <xdr:rowOff>28575</xdr:rowOff>
              </to>
            </anchor>
          </controlPr>
        </control>
      </mc:Choice>
      <mc:Fallback>
        <control shapeId="12310" r:id="rId4" name="CommandButton1"/>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16"/>
  <dimension ref="A1:AI96"/>
  <sheetViews>
    <sheetView zoomScale="75" workbookViewId="0">
      <pane ySplit="11" topLeftCell="A40" activePane="bottomLeft" state="frozen"/>
      <selection activeCell="W48" sqref="W48"/>
      <selection pane="bottomLeft" activeCell="M61" sqref="M61"/>
    </sheetView>
  </sheetViews>
  <sheetFormatPr defaultColWidth="9.6640625" defaultRowHeight="15"/>
  <cols>
    <col min="1" max="1" width="6.6640625" customWidth="1"/>
    <col min="2" max="2" width="6.109375" customWidth="1"/>
    <col min="5" max="5" width="4" customWidth="1"/>
    <col min="6" max="6" width="4.44140625" customWidth="1"/>
    <col min="7" max="7" width="8.6640625" customWidth="1"/>
    <col min="8" max="8" width="9" customWidth="1"/>
    <col min="9" max="9" width="13.33203125" customWidth="1"/>
    <col min="10" max="10" width="8.88671875" customWidth="1"/>
    <col min="11" max="12" width="7.6640625" customWidth="1"/>
    <col min="15" max="15" width="12.44140625" bestFit="1" customWidth="1"/>
    <col min="16" max="16" width="11" customWidth="1"/>
    <col min="20" max="20" width="12.44140625" bestFit="1" customWidth="1"/>
    <col min="23" max="23" width="12.6640625" customWidth="1"/>
    <col min="24" max="24" width="11.109375" bestFit="1" customWidth="1"/>
    <col min="25" max="25" width="11.109375" customWidth="1"/>
  </cols>
  <sheetData>
    <row r="1" spans="1:32">
      <c r="A1" t="s">
        <v>0</v>
      </c>
      <c r="B1" s="440" t="str">
        <f ca="1">CELL("filename",B2)</f>
        <v>O:\DCF\SALMON\FORECAST\2015\[2015_Copper River Wild Sockeye forecast_FINAL.xlsm]ln23xln22</v>
      </c>
      <c r="G1" t="s">
        <v>216</v>
      </c>
    </row>
    <row r="2" spans="1:32">
      <c r="G2" s="242" t="s">
        <v>154</v>
      </c>
      <c r="H2" s="148" t="s">
        <v>214</v>
      </c>
    </row>
    <row r="3" spans="1:32">
      <c r="G3" s="242" t="s">
        <v>155</v>
      </c>
      <c r="H3" s="148" t="s">
        <v>217</v>
      </c>
    </row>
    <row r="4" spans="1:32">
      <c r="G4" s="54" t="s">
        <v>253</v>
      </c>
      <c r="H4" s="13">
        <v>6</v>
      </c>
    </row>
    <row r="5" spans="1:32">
      <c r="B5" s="13"/>
    </row>
    <row r="6" spans="1:32">
      <c r="B6" s="13"/>
    </row>
    <row r="8" spans="1:32">
      <c r="AA8" t="s">
        <v>156</v>
      </c>
    </row>
    <row r="9" spans="1:32">
      <c r="A9" s="123"/>
      <c r="B9" s="123"/>
      <c r="C9" s="121" t="s">
        <v>157</v>
      </c>
      <c r="D9" s="126"/>
      <c r="E9" s="121"/>
      <c r="F9" s="119"/>
      <c r="G9" s="119"/>
      <c r="H9" s="119" t="s">
        <v>158</v>
      </c>
      <c r="I9" s="119"/>
      <c r="J9" s="119"/>
      <c r="K9" s="119"/>
      <c r="L9" s="119"/>
      <c r="M9" s="126"/>
      <c r="N9" s="121" t="s">
        <v>159</v>
      </c>
      <c r="O9" s="119"/>
      <c r="P9" s="119"/>
      <c r="Q9" s="119"/>
      <c r="R9" s="126"/>
      <c r="S9" s="121" t="s">
        <v>160</v>
      </c>
      <c r="T9" s="119"/>
      <c r="U9" s="119"/>
      <c r="V9" s="119"/>
      <c r="W9" s="126"/>
      <c r="X9" s="122" t="s">
        <v>109</v>
      </c>
      <c r="Y9" s="415" t="s">
        <v>329</v>
      </c>
      <c r="Z9" s="164" t="s">
        <v>161</v>
      </c>
      <c r="AA9" s="164" t="s">
        <v>162</v>
      </c>
      <c r="AB9" s="164" t="s">
        <v>163</v>
      </c>
      <c r="AC9" s="164" t="s">
        <v>164</v>
      </c>
      <c r="AD9" s="158" t="s">
        <v>25</v>
      </c>
      <c r="AE9" s="159"/>
    </row>
    <row r="10" spans="1:32">
      <c r="A10" s="100" t="s">
        <v>23</v>
      </c>
      <c r="B10" s="139" t="s">
        <v>29</v>
      </c>
      <c r="C10" s="209" t="s">
        <v>165</v>
      </c>
      <c r="D10" s="209" t="s">
        <v>166</v>
      </c>
      <c r="E10" s="123"/>
      <c r="F10" s="123"/>
      <c r="G10" s="123"/>
      <c r="H10" s="123"/>
      <c r="I10" s="209" t="s">
        <v>167</v>
      </c>
      <c r="J10" s="209" t="s">
        <v>168</v>
      </c>
      <c r="K10" s="209" t="s">
        <v>167</v>
      </c>
      <c r="L10" s="123"/>
      <c r="M10" s="226" t="s">
        <v>169</v>
      </c>
      <c r="N10" s="123"/>
      <c r="O10" s="123"/>
      <c r="P10" s="122" t="s">
        <v>24</v>
      </c>
      <c r="Q10" s="122" t="s">
        <v>170</v>
      </c>
      <c r="R10" s="122" t="s">
        <v>171</v>
      </c>
      <c r="S10" s="123"/>
      <c r="T10" s="123"/>
      <c r="U10" s="122" t="s">
        <v>24</v>
      </c>
      <c r="V10" s="122" t="s">
        <v>170</v>
      </c>
      <c r="W10" s="122" t="s">
        <v>171</v>
      </c>
      <c r="X10" s="100" t="s">
        <v>115</v>
      </c>
      <c r="Y10" s="416" t="s">
        <v>323</v>
      </c>
      <c r="Z10" s="139"/>
      <c r="AA10" s="122" t="s">
        <v>172</v>
      </c>
      <c r="AB10" s="122" t="s">
        <v>112</v>
      </c>
      <c r="AC10" s="122" t="s">
        <v>29</v>
      </c>
      <c r="AD10" s="164" t="s">
        <v>173</v>
      </c>
      <c r="AE10" s="164" t="s">
        <v>174</v>
      </c>
    </row>
    <row r="11" spans="1:32" ht="16.899999999999999" customHeight="1">
      <c r="A11" s="125" t="s">
        <v>27</v>
      </c>
      <c r="B11" s="27" t="s">
        <v>27</v>
      </c>
      <c r="C11" s="163" t="s">
        <v>161</v>
      </c>
      <c r="D11" s="214" t="s">
        <v>240</v>
      </c>
      <c r="E11" s="188" t="s">
        <v>175</v>
      </c>
      <c r="F11" s="188" t="s">
        <v>176</v>
      </c>
      <c r="G11" s="214" t="s">
        <v>152</v>
      </c>
      <c r="H11" s="215" t="s">
        <v>177</v>
      </c>
      <c r="I11" s="216" t="s">
        <v>177</v>
      </c>
      <c r="J11" s="214" t="s">
        <v>239</v>
      </c>
      <c r="K11" s="188" t="s">
        <v>168</v>
      </c>
      <c r="L11" s="188" t="s">
        <v>241</v>
      </c>
      <c r="M11" s="217" t="s">
        <v>178</v>
      </c>
      <c r="N11" s="188" t="s">
        <v>242</v>
      </c>
      <c r="O11" s="217" t="s">
        <v>243</v>
      </c>
      <c r="P11" s="214" t="s">
        <v>239</v>
      </c>
      <c r="Q11" s="188" t="s">
        <v>244</v>
      </c>
      <c r="R11" s="188" t="s">
        <v>244</v>
      </c>
      <c r="S11" s="188" t="s">
        <v>242</v>
      </c>
      <c r="T11" s="217" t="s">
        <v>243</v>
      </c>
      <c r="U11" s="214" t="s">
        <v>239</v>
      </c>
      <c r="V11" s="188" t="s">
        <v>244</v>
      </c>
      <c r="W11" s="188" t="s">
        <v>244</v>
      </c>
      <c r="X11" s="234" t="s">
        <v>245</v>
      </c>
      <c r="Y11" s="555" t="s">
        <v>115</v>
      </c>
      <c r="Z11" s="125" t="s">
        <v>200</v>
      </c>
      <c r="AA11" s="125" t="s">
        <v>179</v>
      </c>
      <c r="AB11" s="125" t="s">
        <v>179</v>
      </c>
      <c r="AC11" s="125" t="s">
        <v>27</v>
      </c>
      <c r="AD11" s="164" t="s">
        <v>170</v>
      </c>
      <c r="AE11" s="164" t="s">
        <v>171</v>
      </c>
      <c r="AF11" s="164" t="s">
        <v>111</v>
      </c>
    </row>
    <row r="12" spans="1:32">
      <c r="A12" s="36"/>
      <c r="B12" s="31"/>
      <c r="C12" s="31"/>
      <c r="D12" s="31"/>
      <c r="E12" s="31"/>
      <c r="F12" s="31"/>
      <c r="G12" s="31"/>
      <c r="H12" s="31"/>
      <c r="I12" s="31"/>
      <c r="J12" s="31"/>
      <c r="K12" s="31"/>
      <c r="L12" s="31"/>
      <c r="M12" s="31"/>
      <c r="N12" s="31"/>
      <c r="O12" s="31"/>
      <c r="P12" s="31"/>
      <c r="Q12" s="31"/>
      <c r="R12" s="31"/>
      <c r="S12" s="31"/>
      <c r="T12" s="31"/>
      <c r="U12" s="31"/>
      <c r="V12" s="31"/>
      <c r="W12" s="31"/>
      <c r="X12" s="46"/>
      <c r="Y12" s="46"/>
      <c r="Z12" s="123"/>
      <c r="AA12" s="123"/>
      <c r="AB12" s="123"/>
      <c r="AC12" s="123"/>
      <c r="AD12" s="36"/>
      <c r="AE12" s="46"/>
    </row>
    <row r="13" spans="1:32">
      <c r="A13" s="134">
        <v>1962</v>
      </c>
      <c r="B13" s="440">
        <f t="shared" ref="B13:B59" si="0">A13+$H$4</f>
        <v>1968</v>
      </c>
      <c r="C13" s="458">
        <f>VLOOKUP($A13,'Brd Tbl'!$A$8:$AX$64,28)</f>
        <v>9.1830558095757926</v>
      </c>
      <c r="D13" s="458">
        <f>VLOOKUP($A13,'Brd Tbl'!$A$8:$AX$64,34)</f>
        <v>10.236123333560183</v>
      </c>
      <c r="E13" s="7">
        <v>46</v>
      </c>
      <c r="F13" s="7">
        <v>44</v>
      </c>
      <c r="G13" s="576">
        <v>6.5316966564560373</v>
      </c>
      <c r="H13" s="576">
        <v>0.4958446879300818</v>
      </c>
      <c r="I13" s="577">
        <v>0.13779256456607569</v>
      </c>
      <c r="J13" s="7">
        <v>11.085066098599672</v>
      </c>
      <c r="K13" s="7">
        <v>0.6419193149933714</v>
      </c>
      <c r="L13" s="7">
        <v>0.22738031182787061</v>
      </c>
      <c r="M13" s="576">
        <v>0.42481956889419697</v>
      </c>
      <c r="N13" s="440">
        <f t="shared" ref="N13:N59" si="1">D13-J13</f>
        <v>-0.84894276503948873</v>
      </c>
      <c r="O13" s="440">
        <f t="shared" ref="O13:O59" si="2">N13^2</f>
        <v>0.72070381831289254</v>
      </c>
      <c r="P13" s="465">
        <f t="shared" ref="P13:P59" si="3">J13</f>
        <v>11.085066098599672</v>
      </c>
      <c r="Q13" s="440">
        <f t="shared" ref="Q13:Q38" si="4">$P13-SQRT($O$63)*$Q$63</f>
        <v>10.220489636439583</v>
      </c>
      <c r="R13" s="440">
        <f t="shared" ref="R13:R59" si="5">$P13+SQRT($O$63)*$Q$63</f>
        <v>11.949642560759761</v>
      </c>
      <c r="S13" s="466">
        <f t="shared" ref="S13:S24" si="6">EXP(D13)-U13</f>
        <v>-37297.523747467676</v>
      </c>
      <c r="T13" s="440">
        <f t="shared" ref="T13:T59" si="7">S13^2</f>
        <v>1391105277.6929152</v>
      </c>
      <c r="U13" s="466">
        <f t="shared" ref="U13:U59" si="8">EXP(P13)</f>
        <v>65190.308784971356</v>
      </c>
      <c r="V13" s="467">
        <f t="shared" ref="V13:V59" si="9">EXP(Q13)</f>
        <v>27460.108662664854</v>
      </c>
      <c r="W13" s="467">
        <f t="shared" ref="W13:W59" si="10">EXP(R13)</f>
        <v>154761.81874174334</v>
      </c>
      <c r="X13" s="468">
        <f t="shared" ref="X13:X59" si="11">(+U13-EXP(D13))/(EXP(D13))</f>
        <v>1.3371746025833817</v>
      </c>
      <c r="Y13" s="468">
        <f t="shared" ref="Y13:Y59" si="12">ABS(X13)</f>
        <v>1.3371746025833817</v>
      </c>
      <c r="Z13" s="517">
        <f t="shared" ref="Z13:Z59" si="13">C13</f>
        <v>9.1830558095757926</v>
      </c>
      <c r="AA13" s="471">
        <f t="shared" ref="AA13:AA59" si="14">(+G$61+H$61*C13)</f>
        <v>11.044186195825402</v>
      </c>
      <c r="AB13" s="473">
        <f t="shared" ref="AB13:AB59" si="15">D13</f>
        <v>10.236123333560183</v>
      </c>
      <c r="AC13" s="801">
        <f t="shared" ref="AC13:AC44" si="16">B13-1900</f>
        <v>68</v>
      </c>
      <c r="AD13" s="435">
        <f t="shared" ref="AD13:AD59" si="17">AA13-SQRT($O$63)*$Q$63</f>
        <v>10.179609733665313</v>
      </c>
      <c r="AE13" s="441">
        <f t="shared" ref="AE13:AE59" si="18">AA13+SQRT($O$63)*$Q$63</f>
        <v>11.908762657985491</v>
      </c>
    </row>
    <row r="14" spans="1:32">
      <c r="A14" s="134">
        <v>1963</v>
      </c>
      <c r="B14" s="440">
        <f t="shared" si="0"/>
        <v>1969</v>
      </c>
      <c r="C14" s="458">
        <f>VLOOKUP($A14,'Brd Tbl'!$A$8:$AX$64,28)</f>
        <v>9.361806906405409</v>
      </c>
      <c r="D14" s="458">
        <f>VLOOKUP($A14,'Brd Tbl'!$A$8:$AX$64,34)</f>
        <v>9.1614112184967418</v>
      </c>
      <c r="E14" s="7">
        <v>46</v>
      </c>
      <c r="F14" s="7">
        <v>44</v>
      </c>
      <c r="G14" s="576">
        <v>6.8096557599561809</v>
      </c>
      <c r="H14" s="576">
        <v>0.47050292132682603</v>
      </c>
      <c r="I14" s="577">
        <v>0.12360932119632612</v>
      </c>
      <c r="J14" s="7">
        <v>11.214413258317581</v>
      </c>
      <c r="K14" s="7">
        <v>0.57915574969239758</v>
      </c>
      <c r="L14" s="7">
        <v>0.24771483955214074</v>
      </c>
      <c r="M14" s="576">
        <v>0.34886057852037861</v>
      </c>
      <c r="N14" s="440">
        <f t="shared" si="1"/>
        <v>-2.0530020398208393</v>
      </c>
      <c r="O14" s="440">
        <f t="shared" si="2"/>
        <v>4.2148173755085274</v>
      </c>
      <c r="P14" s="465">
        <f t="shared" si="3"/>
        <v>11.214413258317581</v>
      </c>
      <c r="Q14" s="440">
        <f t="shared" si="4"/>
        <v>10.349836796157492</v>
      </c>
      <c r="R14" s="440">
        <f t="shared" si="5"/>
        <v>12.07898972047767</v>
      </c>
      <c r="S14" s="466">
        <f t="shared" si="6"/>
        <v>-64669.636633932569</v>
      </c>
      <c r="T14" s="440">
        <f t="shared" si="7"/>
        <v>4182161902.3648734</v>
      </c>
      <c r="U14" s="466">
        <f t="shared" si="8"/>
        <v>74192.122542014069</v>
      </c>
      <c r="V14" s="467">
        <f t="shared" si="9"/>
        <v>31251.94196636674</v>
      </c>
      <c r="W14" s="467">
        <f t="shared" si="10"/>
        <v>176132.1281478485</v>
      </c>
      <c r="X14" s="468">
        <f t="shared" si="11"/>
        <v>6.7912556929119763</v>
      </c>
      <c r="Y14" s="468">
        <f t="shared" si="12"/>
        <v>6.7912556929119763</v>
      </c>
      <c r="Z14" s="517">
        <f t="shared" si="13"/>
        <v>9.361806906405409</v>
      </c>
      <c r="AA14" s="471">
        <f t="shared" si="14"/>
        <v>11.13808543631794</v>
      </c>
      <c r="AB14" s="473">
        <f t="shared" si="15"/>
        <v>9.1614112184967418</v>
      </c>
      <c r="AC14" s="801">
        <f t="shared" si="16"/>
        <v>69</v>
      </c>
      <c r="AD14" s="435">
        <f t="shared" si="17"/>
        <v>10.273508974157851</v>
      </c>
      <c r="AE14" s="441">
        <f t="shared" si="18"/>
        <v>12.00266189847803</v>
      </c>
    </row>
    <row r="15" spans="1:32">
      <c r="A15" s="134">
        <v>1964</v>
      </c>
      <c r="B15" s="440">
        <f t="shared" si="0"/>
        <v>1970</v>
      </c>
      <c r="C15" s="458">
        <f>VLOOKUP($A15,'Brd Tbl'!$A$8:$AX$64,28)</f>
        <v>10.044501496465394</v>
      </c>
      <c r="D15" s="458">
        <f>VLOOKUP($A15,'Brd Tbl'!$A$8:$AX$64,34)</f>
        <v>10.120788143584148</v>
      </c>
      <c r="E15" s="7">
        <v>46</v>
      </c>
      <c r="F15" s="7">
        <v>44</v>
      </c>
      <c r="G15" s="576">
        <v>6.1955911346669161</v>
      </c>
      <c r="H15" s="576">
        <v>0.53078964104715343</v>
      </c>
      <c r="I15" s="577">
        <v>0.13114609034126021</v>
      </c>
      <c r="J15" s="7">
        <v>11.527108478473377</v>
      </c>
      <c r="K15" s="7">
        <v>0.61941450326971881</v>
      </c>
      <c r="L15" s="7">
        <v>0.27129111435321251</v>
      </c>
      <c r="M15" s="576">
        <v>0.39749276311136938</v>
      </c>
      <c r="N15" s="440">
        <f t="shared" si="1"/>
        <v>-1.4063203348892284</v>
      </c>
      <c r="O15" s="440">
        <f t="shared" si="2"/>
        <v>1.9777368843229515</v>
      </c>
      <c r="P15" s="465">
        <f t="shared" si="3"/>
        <v>11.527108478473377</v>
      </c>
      <c r="Q15" s="440">
        <f t="shared" si="4"/>
        <v>10.662532016313287</v>
      </c>
      <c r="R15" s="440">
        <f t="shared" si="5"/>
        <v>12.391684940633466</v>
      </c>
      <c r="S15" s="466">
        <f t="shared" si="6"/>
        <v>-76574.055047710586</v>
      </c>
      <c r="T15" s="440">
        <f t="shared" si="7"/>
        <v>5863585906.449811</v>
      </c>
      <c r="U15" s="466">
        <f t="shared" si="8"/>
        <v>101428.40696341135</v>
      </c>
      <c r="V15" s="467">
        <f t="shared" si="9"/>
        <v>42724.679919576673</v>
      </c>
      <c r="W15" s="467">
        <f t="shared" si="10"/>
        <v>240791.07809585967</v>
      </c>
      <c r="X15" s="468">
        <f t="shared" si="11"/>
        <v>3.0809113553807013</v>
      </c>
      <c r="Y15" s="468">
        <f t="shared" si="12"/>
        <v>3.0809113553807013</v>
      </c>
      <c r="Z15" s="517">
        <f t="shared" si="13"/>
        <v>10.044501496465394</v>
      </c>
      <c r="AA15" s="471">
        <f t="shared" si="14"/>
        <v>11.496709828738318</v>
      </c>
      <c r="AB15" s="473">
        <f t="shared" si="15"/>
        <v>10.120788143584148</v>
      </c>
      <c r="AC15" s="801">
        <f t="shared" si="16"/>
        <v>70</v>
      </c>
      <c r="AD15" s="435">
        <f t="shared" si="17"/>
        <v>10.632133366578229</v>
      </c>
      <c r="AE15" s="441">
        <f t="shared" si="18"/>
        <v>12.361286290898407</v>
      </c>
    </row>
    <row r="16" spans="1:32">
      <c r="A16" s="134">
        <v>1965</v>
      </c>
      <c r="B16" s="440">
        <f t="shared" si="0"/>
        <v>1971</v>
      </c>
      <c r="C16" s="458">
        <f>VLOOKUP($A16,'Brd Tbl'!$A$8:$AX$64,28)</f>
        <v>10.149185406051224</v>
      </c>
      <c r="D16" s="458">
        <f>VLOOKUP($A16,'Brd Tbl'!$A$8:$AX$64,34)</f>
        <v>12.398763016885381</v>
      </c>
      <c r="E16" s="7">
        <v>46</v>
      </c>
      <c r="F16" s="7">
        <v>44</v>
      </c>
      <c r="G16" s="576">
        <v>6.275964684242795</v>
      </c>
      <c r="H16" s="576">
        <v>0.51786063406697114</v>
      </c>
      <c r="I16" s="577">
        <v>0.13582037653090859</v>
      </c>
      <c r="J16" s="7">
        <v>11.531828273883733</v>
      </c>
      <c r="K16" s="7">
        <v>0.64106285273704278</v>
      </c>
      <c r="L16" s="7">
        <v>0.24834774694630002</v>
      </c>
      <c r="M16" s="576">
        <v>0.42414843780049144</v>
      </c>
      <c r="N16" s="440">
        <f t="shared" si="1"/>
        <v>0.8669347430016483</v>
      </c>
      <c r="O16" s="440">
        <f t="shared" si="2"/>
        <v>0.75157584862333404</v>
      </c>
      <c r="P16" s="465">
        <f t="shared" si="3"/>
        <v>11.531828273883733</v>
      </c>
      <c r="Q16" s="440">
        <f t="shared" si="4"/>
        <v>10.667251811723643</v>
      </c>
      <c r="R16" s="440">
        <f t="shared" si="5"/>
        <v>12.396404736043822</v>
      </c>
      <c r="S16" s="466">
        <f t="shared" si="6"/>
        <v>140593.20187347522</v>
      </c>
      <c r="T16" s="440">
        <f t="shared" si="7"/>
        <v>19766448413.035755</v>
      </c>
      <c r="U16" s="466">
        <f t="shared" si="8"/>
        <v>101908.25980591359</v>
      </c>
      <c r="V16" s="467">
        <f t="shared" si="9"/>
        <v>42926.808294833543</v>
      </c>
      <c r="W16" s="467">
        <f t="shared" si="10"/>
        <v>241930.24893303111</v>
      </c>
      <c r="X16" s="468">
        <f t="shared" si="11"/>
        <v>-0.57976228637893112</v>
      </c>
      <c r="Y16" s="468">
        <f t="shared" si="12"/>
        <v>0.57976228637893112</v>
      </c>
      <c r="Z16" s="517">
        <f t="shared" si="13"/>
        <v>10.149185406051224</v>
      </c>
      <c r="AA16" s="471">
        <f t="shared" si="14"/>
        <v>11.551701041526616</v>
      </c>
      <c r="AB16" s="473">
        <f t="shared" si="15"/>
        <v>12.398763016885381</v>
      </c>
      <c r="AC16" s="801">
        <f t="shared" si="16"/>
        <v>71</v>
      </c>
      <c r="AD16" s="435">
        <f t="shared" si="17"/>
        <v>10.687124579366527</v>
      </c>
      <c r="AE16" s="441">
        <f t="shared" si="18"/>
        <v>12.416277503686706</v>
      </c>
    </row>
    <row r="17" spans="1:31">
      <c r="A17" s="134">
        <v>1966</v>
      </c>
      <c r="B17" s="440">
        <f t="shared" si="0"/>
        <v>1972</v>
      </c>
      <c r="C17" s="458">
        <f>VLOOKUP($A17,'Brd Tbl'!$A$8:$AX$64,28)</f>
        <v>9.5831284261943281</v>
      </c>
      <c r="D17" s="458">
        <f>VLOOKUP($A17,'Brd Tbl'!$A$8:$AX$64,34)</f>
        <v>12.543705480093045</v>
      </c>
      <c r="E17" s="7">
        <v>46</v>
      </c>
      <c r="F17" s="7">
        <v>44</v>
      </c>
      <c r="G17" s="576">
        <v>5.9705526735190162</v>
      </c>
      <c r="H17" s="576">
        <v>0.54755148556639377</v>
      </c>
      <c r="I17" s="577">
        <v>0.1324215323998168</v>
      </c>
      <c r="J17" s="7">
        <v>11.217808879655259</v>
      </c>
      <c r="K17" s="7">
        <v>0.62353649201496286</v>
      </c>
      <c r="L17" s="7">
        <v>0.27983964341903739</v>
      </c>
      <c r="M17" s="576">
        <v>0.40226961287811869</v>
      </c>
      <c r="N17" s="440">
        <f t="shared" si="1"/>
        <v>1.3258966004377868</v>
      </c>
      <c r="O17" s="440">
        <f t="shared" si="2"/>
        <v>1.75800179505248</v>
      </c>
      <c r="P17" s="465">
        <f t="shared" si="3"/>
        <v>11.217808879655259</v>
      </c>
      <c r="Q17" s="440">
        <f t="shared" si="4"/>
        <v>10.353232417495169</v>
      </c>
      <c r="R17" s="440">
        <f t="shared" si="5"/>
        <v>12.082385341815348</v>
      </c>
      <c r="S17" s="466">
        <f t="shared" si="6"/>
        <v>205880.67696730461</v>
      </c>
      <c r="T17" s="440">
        <f t="shared" si="7"/>
        <v>42386853148.515633</v>
      </c>
      <c r="U17" s="466">
        <f t="shared" si="8"/>
        <v>74444.479107597028</v>
      </c>
      <c r="V17" s="467">
        <f t="shared" si="9"/>
        <v>31358.242102718334</v>
      </c>
      <c r="W17" s="467">
        <f t="shared" si="10"/>
        <v>176731.22273397574</v>
      </c>
      <c r="X17" s="468">
        <f t="shared" si="11"/>
        <v>-0.73443525315399882</v>
      </c>
      <c r="Y17" s="468">
        <f t="shared" si="12"/>
        <v>0.73443525315399882</v>
      </c>
      <c r="Z17" s="517">
        <f t="shared" si="13"/>
        <v>9.5831284261943281</v>
      </c>
      <c r="AA17" s="471">
        <f t="shared" si="14"/>
        <v>11.254347227050575</v>
      </c>
      <c r="AB17" s="473">
        <f t="shared" si="15"/>
        <v>12.543705480093045</v>
      </c>
      <c r="AC17" s="801">
        <f t="shared" si="16"/>
        <v>72</v>
      </c>
      <c r="AD17" s="435">
        <f t="shared" si="17"/>
        <v>10.389770764890486</v>
      </c>
      <c r="AE17" s="441">
        <f t="shared" si="18"/>
        <v>12.118923689210664</v>
      </c>
    </row>
    <row r="18" spans="1:31">
      <c r="A18" s="134">
        <v>1967</v>
      </c>
      <c r="B18" s="440">
        <f t="shared" si="0"/>
        <v>1973</v>
      </c>
      <c r="C18" s="458">
        <f>VLOOKUP($A18,'Brd Tbl'!$A$8:$AX$64,28)</f>
        <v>9.0961528771355642</v>
      </c>
      <c r="D18" s="458">
        <f>VLOOKUP($A18,'Brd Tbl'!$A$8:$AX$64,34)</f>
        <v>10.848894926054982</v>
      </c>
      <c r="E18" s="7">
        <v>46</v>
      </c>
      <c r="F18" s="7">
        <v>44</v>
      </c>
      <c r="G18" s="576">
        <v>6.2844597162461993</v>
      </c>
      <c r="H18" s="576">
        <v>0.51919810103086594</v>
      </c>
      <c r="I18" s="577">
        <v>0.14075859463093429</v>
      </c>
      <c r="J18" s="7">
        <v>11.007165016741432</v>
      </c>
      <c r="K18" s="7">
        <v>0.65353885267879996</v>
      </c>
      <c r="L18" s="7">
        <v>0.23618480920112458</v>
      </c>
      <c r="M18" s="576">
        <v>0.43994249056174006</v>
      </c>
      <c r="N18" s="440">
        <f t="shared" si="1"/>
        <v>-0.15827009068645026</v>
      </c>
      <c r="O18" s="440">
        <f t="shared" si="2"/>
        <v>2.5049421605897189E-2</v>
      </c>
      <c r="P18" s="465">
        <f t="shared" si="3"/>
        <v>11.007165016741432</v>
      </c>
      <c r="Q18" s="440">
        <f t="shared" si="4"/>
        <v>10.142588554581343</v>
      </c>
      <c r="R18" s="440">
        <f t="shared" si="5"/>
        <v>11.871741478901521</v>
      </c>
      <c r="S18" s="466">
        <f t="shared" si="6"/>
        <v>-8827.4477506973053</v>
      </c>
      <c r="T18" s="440">
        <f t="shared" si="7"/>
        <v>77923833.791290909</v>
      </c>
      <c r="U18" s="466">
        <f t="shared" si="8"/>
        <v>60304.681513497169</v>
      </c>
      <c r="V18" s="467">
        <f t="shared" si="9"/>
        <v>25402.136269828319</v>
      </c>
      <c r="W18" s="467">
        <f t="shared" si="10"/>
        <v>143163.33767423357</v>
      </c>
      <c r="X18" s="468">
        <f t="shared" si="11"/>
        <v>0.17148255851068051</v>
      </c>
      <c r="Y18" s="468">
        <f t="shared" si="12"/>
        <v>0.17148255851068051</v>
      </c>
      <c r="Z18" s="517">
        <f t="shared" si="13"/>
        <v>9.0961528771355642</v>
      </c>
      <c r="AA18" s="471">
        <f t="shared" si="14"/>
        <v>10.998535458585508</v>
      </c>
      <c r="AB18" s="473">
        <f t="shared" si="15"/>
        <v>10.848894926054982</v>
      </c>
      <c r="AC18" s="801">
        <f t="shared" si="16"/>
        <v>73</v>
      </c>
      <c r="AD18" s="435">
        <f t="shared" si="17"/>
        <v>10.133958996425418</v>
      </c>
      <c r="AE18" s="441">
        <f t="shared" si="18"/>
        <v>11.863111920745597</v>
      </c>
    </row>
    <row r="19" spans="1:31">
      <c r="A19" s="134">
        <v>1968</v>
      </c>
      <c r="B19" s="440">
        <f t="shared" si="0"/>
        <v>1974</v>
      </c>
      <c r="C19" s="458">
        <f>VLOOKUP($A19,'Brd Tbl'!$A$8:$AX$64,28)</f>
        <v>9.5747737376572584</v>
      </c>
      <c r="D19" s="458">
        <f>VLOOKUP($A19,'Brd Tbl'!$A$8:$AX$64,34)</f>
        <v>11.111108922927762</v>
      </c>
      <c r="E19" s="7">
        <v>46</v>
      </c>
      <c r="F19" s="7">
        <v>44</v>
      </c>
      <c r="G19" s="576">
        <v>6.2476918188876729</v>
      </c>
      <c r="H19" s="576">
        <v>0.52285758104270319</v>
      </c>
      <c r="I19" s="577">
        <v>0.13882764562975181</v>
      </c>
      <c r="J19" s="7">
        <v>11.253934854390348</v>
      </c>
      <c r="K19" s="7">
        <v>0.65360583260106275</v>
      </c>
      <c r="L19" s="7">
        <v>0.24378522608361408</v>
      </c>
      <c r="M19" s="576">
        <v>0.440043581320604</v>
      </c>
      <c r="N19" s="440">
        <f t="shared" si="1"/>
        <v>-0.14282593146258549</v>
      </c>
      <c r="O19" s="440">
        <f t="shared" si="2"/>
        <v>2.0399246698155168E-2</v>
      </c>
      <c r="P19" s="465">
        <f t="shared" si="3"/>
        <v>11.253934854390348</v>
      </c>
      <c r="Q19" s="440">
        <f t="shared" si="4"/>
        <v>10.389358392230259</v>
      </c>
      <c r="R19" s="440">
        <f t="shared" si="5"/>
        <v>12.118511316550437</v>
      </c>
      <c r="S19" s="466">
        <f t="shared" si="6"/>
        <v>-10272.678325819521</v>
      </c>
      <c r="T19" s="440">
        <f t="shared" si="7"/>
        <v>105527919.98576215</v>
      </c>
      <c r="U19" s="466">
        <f t="shared" si="8"/>
        <v>77183.02700483473</v>
      </c>
      <c r="V19" s="467">
        <f t="shared" si="9"/>
        <v>32511.800418941497</v>
      </c>
      <c r="W19" s="467">
        <f t="shared" si="10"/>
        <v>183232.53652105801</v>
      </c>
      <c r="X19" s="468">
        <f t="shared" si="11"/>
        <v>0.15352899108477214</v>
      </c>
      <c r="Y19" s="468">
        <f t="shared" si="12"/>
        <v>0.15352899108477214</v>
      </c>
      <c r="Z19" s="517">
        <f t="shared" si="13"/>
        <v>9.5747737376572584</v>
      </c>
      <c r="AA19" s="471">
        <f t="shared" si="14"/>
        <v>11.249958448899857</v>
      </c>
      <c r="AB19" s="473">
        <f t="shared" si="15"/>
        <v>11.111108922927762</v>
      </c>
      <c r="AC19" s="801">
        <f t="shared" si="16"/>
        <v>74</v>
      </c>
      <c r="AD19" s="435">
        <f t="shared" si="17"/>
        <v>10.385381986739768</v>
      </c>
      <c r="AE19" s="441">
        <f t="shared" si="18"/>
        <v>12.114534911059947</v>
      </c>
    </row>
    <row r="20" spans="1:31">
      <c r="A20" s="134">
        <v>1969</v>
      </c>
      <c r="B20" s="440">
        <f t="shared" si="0"/>
        <v>1975</v>
      </c>
      <c r="C20" s="458">
        <f>VLOOKUP($A20,'Brd Tbl'!$A$8:$AX$64,28)</f>
        <v>10.676012017213226</v>
      </c>
      <c r="D20" s="458">
        <f>VLOOKUP($A20,'Brd Tbl'!$A$8:$AX$64,34)</f>
        <v>11.582377948203689</v>
      </c>
      <c r="E20" s="7">
        <v>46</v>
      </c>
      <c r="F20" s="7">
        <v>44</v>
      </c>
      <c r="G20" s="576">
        <v>6.1431807688157853</v>
      </c>
      <c r="H20" s="576">
        <v>0.53359832447730127</v>
      </c>
      <c r="I20" s="577">
        <v>0.13986387352916563</v>
      </c>
      <c r="J20" s="7">
        <v>11.839882893300295</v>
      </c>
      <c r="K20" s="7">
        <v>0.65284853222437855</v>
      </c>
      <c r="L20" s="7">
        <v>0.24857212964984166</v>
      </c>
      <c r="M20" s="576">
        <v>0.43904554762384196</v>
      </c>
      <c r="N20" s="440">
        <f t="shared" si="1"/>
        <v>-0.25750494509660626</v>
      </c>
      <c r="O20" s="440">
        <f t="shared" si="2"/>
        <v>6.63087967492062E-2</v>
      </c>
      <c r="P20" s="465">
        <f t="shared" si="3"/>
        <v>11.839882893300295</v>
      </c>
      <c r="Q20" s="440">
        <f t="shared" si="4"/>
        <v>10.975306431140206</v>
      </c>
      <c r="R20" s="440">
        <f t="shared" si="5"/>
        <v>12.704459355460385</v>
      </c>
      <c r="S20" s="466">
        <f t="shared" si="6"/>
        <v>-31482.131421346276</v>
      </c>
      <c r="T20" s="440">
        <f t="shared" si="7"/>
        <v>991124598.83091843</v>
      </c>
      <c r="U20" s="466">
        <f t="shared" si="8"/>
        <v>138674.24399822179</v>
      </c>
      <c r="V20" s="467">
        <f t="shared" si="9"/>
        <v>58413.740936013928</v>
      </c>
      <c r="W20" s="467">
        <f t="shared" si="10"/>
        <v>329212.70989206771</v>
      </c>
      <c r="X20" s="468">
        <f t="shared" si="11"/>
        <v>0.29369820842711797</v>
      </c>
      <c r="Y20" s="468">
        <f t="shared" si="12"/>
        <v>0.29369820842711797</v>
      </c>
      <c r="Z20" s="517">
        <f t="shared" si="13"/>
        <v>10.676012017213226</v>
      </c>
      <c r="AA20" s="471">
        <f t="shared" si="14"/>
        <v>11.828446860359396</v>
      </c>
      <c r="AB20" s="473">
        <f t="shared" si="15"/>
        <v>11.582377948203689</v>
      </c>
      <c r="AC20" s="801">
        <f t="shared" si="16"/>
        <v>75</v>
      </c>
      <c r="AD20" s="435">
        <f t="shared" si="17"/>
        <v>10.963870398199306</v>
      </c>
      <c r="AE20" s="441">
        <f t="shared" si="18"/>
        <v>12.693023322519485</v>
      </c>
    </row>
    <row r="21" spans="1:31">
      <c r="A21" s="134">
        <v>1970</v>
      </c>
      <c r="B21" s="440">
        <f t="shared" si="0"/>
        <v>1976</v>
      </c>
      <c r="C21" s="458">
        <f>VLOOKUP($A21,'Brd Tbl'!$A$8:$AX$64,28)</f>
        <v>9.6307284205651111</v>
      </c>
      <c r="D21" s="458">
        <f>VLOOKUP($A21,'Brd Tbl'!$A$8:$AX$64,34)</f>
        <v>10.232866188291677</v>
      </c>
      <c r="E21" s="7">
        <v>46</v>
      </c>
      <c r="F21" s="7">
        <v>44</v>
      </c>
      <c r="G21" s="576">
        <v>6.3997986451942266</v>
      </c>
      <c r="H21" s="576">
        <v>0.50957270861972581</v>
      </c>
      <c r="I21" s="577">
        <v>0.13456367650462631</v>
      </c>
      <c r="J21" s="7">
        <v>11.307355012442564</v>
      </c>
      <c r="K21" s="7">
        <v>0.63411032667728551</v>
      </c>
      <c r="L21" s="7">
        <v>0.24580367315757956</v>
      </c>
      <c r="M21" s="576">
        <v>0.41538864683088661</v>
      </c>
      <c r="N21" s="440">
        <f t="shared" si="1"/>
        <v>-1.0744888241508868</v>
      </c>
      <c r="O21" s="440">
        <f t="shared" si="2"/>
        <v>1.1545262332251554</v>
      </c>
      <c r="P21" s="465">
        <f t="shared" si="3"/>
        <v>11.307355012442564</v>
      </c>
      <c r="Q21" s="440">
        <f t="shared" si="4"/>
        <v>10.442778550282474</v>
      </c>
      <c r="R21" s="440">
        <f t="shared" si="5"/>
        <v>12.171931474602653</v>
      </c>
      <c r="S21" s="466">
        <f t="shared" si="6"/>
        <v>-53616.191150110877</v>
      </c>
      <c r="T21" s="440">
        <f t="shared" si="7"/>
        <v>2874695953.4452281</v>
      </c>
      <c r="U21" s="466">
        <f t="shared" si="8"/>
        <v>81418.27313150822</v>
      </c>
      <c r="V21" s="467">
        <f t="shared" si="9"/>
        <v>34295.812813102697</v>
      </c>
      <c r="W21" s="467">
        <f t="shared" si="10"/>
        <v>193287.0124945484</v>
      </c>
      <c r="X21" s="468">
        <f t="shared" si="11"/>
        <v>1.9284955416643264</v>
      </c>
      <c r="Y21" s="468">
        <f t="shared" si="12"/>
        <v>1.9284955416643264</v>
      </c>
      <c r="Z21" s="517">
        <f t="shared" si="13"/>
        <v>9.6307284205651111</v>
      </c>
      <c r="AA21" s="471">
        <f t="shared" si="14"/>
        <v>11.279351847431315</v>
      </c>
      <c r="AB21" s="473">
        <f t="shared" si="15"/>
        <v>10.232866188291677</v>
      </c>
      <c r="AC21" s="801">
        <f t="shared" si="16"/>
        <v>76</v>
      </c>
      <c r="AD21" s="435">
        <f t="shared" si="17"/>
        <v>10.414775385271225</v>
      </c>
      <c r="AE21" s="441">
        <f t="shared" si="18"/>
        <v>12.143928309591404</v>
      </c>
    </row>
    <row r="22" spans="1:31">
      <c r="A22" s="178">
        <v>1971</v>
      </c>
      <c r="B22" s="440">
        <f t="shared" si="0"/>
        <v>1977</v>
      </c>
      <c r="C22" s="458">
        <f>VLOOKUP($A22,'Brd Tbl'!$A$8:$AX$64,28)</f>
        <v>9.1792713306598923</v>
      </c>
      <c r="D22" s="458">
        <f>VLOOKUP($A22,'Brd Tbl'!$A$8:$AX$64,34)</f>
        <v>11.343314071920092</v>
      </c>
      <c r="E22" s="7">
        <v>46</v>
      </c>
      <c r="F22" s="7">
        <v>44</v>
      </c>
      <c r="G22" s="576">
        <v>6.1036410317539165</v>
      </c>
      <c r="H22" s="576">
        <v>0.53634280745718832</v>
      </c>
      <c r="I22" s="577">
        <v>0.14003865421099254</v>
      </c>
      <c r="J22" s="7">
        <v>11.026877187651323</v>
      </c>
      <c r="K22" s="7">
        <v>0.65229268480905145</v>
      </c>
      <c r="L22" s="7">
        <v>0.25002488738373152</v>
      </c>
      <c r="M22" s="576">
        <v>0.43831025403739587</v>
      </c>
      <c r="N22" s="440">
        <f t="shared" si="1"/>
        <v>0.3164368842687697</v>
      </c>
      <c r="O22" s="440">
        <f t="shared" si="2"/>
        <v>0.10013230172572675</v>
      </c>
      <c r="P22" s="465">
        <f t="shared" si="3"/>
        <v>11.026877187651323</v>
      </c>
      <c r="Q22" s="440">
        <f t="shared" si="4"/>
        <v>10.162300725491233</v>
      </c>
      <c r="R22" s="440">
        <f t="shared" si="5"/>
        <v>11.891453649811412</v>
      </c>
      <c r="S22" s="466">
        <f t="shared" si="6"/>
        <v>22894.062078915726</v>
      </c>
      <c r="T22" s="440">
        <f t="shared" si="7"/>
        <v>524138078.47324705</v>
      </c>
      <c r="U22" s="466">
        <f t="shared" si="8"/>
        <v>61505.211352973784</v>
      </c>
      <c r="V22" s="467">
        <f t="shared" si="9"/>
        <v>25907.835360064862</v>
      </c>
      <c r="W22" s="467">
        <f t="shared" si="10"/>
        <v>146013.39598618262</v>
      </c>
      <c r="X22" s="468">
        <f t="shared" si="11"/>
        <v>-0.2712589948702735</v>
      </c>
      <c r="Y22" s="468">
        <f t="shared" si="12"/>
        <v>0.2712589948702735</v>
      </c>
      <c r="Z22" s="517">
        <f t="shared" si="13"/>
        <v>9.1792713306598923</v>
      </c>
      <c r="AA22" s="471">
        <f t="shared" si="14"/>
        <v>11.042198181753513</v>
      </c>
      <c r="AB22" s="473">
        <f t="shared" si="15"/>
        <v>11.343314071920092</v>
      </c>
      <c r="AC22" s="801">
        <f t="shared" si="16"/>
        <v>77</v>
      </c>
      <c r="AD22" s="435">
        <f t="shared" si="17"/>
        <v>10.177621719593423</v>
      </c>
      <c r="AE22" s="441">
        <f t="shared" si="18"/>
        <v>11.906774643913602</v>
      </c>
    </row>
    <row r="23" spans="1:31">
      <c r="A23" s="134">
        <v>1972</v>
      </c>
      <c r="B23" s="440">
        <f t="shared" si="0"/>
        <v>1978</v>
      </c>
      <c r="C23" s="458">
        <f>VLOOKUP($A23,'Brd Tbl'!$A$8:$AX$64,28)</f>
        <v>8.8702652307234988</v>
      </c>
      <c r="D23" s="458">
        <f>VLOOKUP($A23,'Brd Tbl'!$A$8:$AX$64,34)</f>
        <v>10.424623999335015</v>
      </c>
      <c r="E23" s="7">
        <v>46</v>
      </c>
      <c r="F23" s="7">
        <v>44</v>
      </c>
      <c r="G23" s="576">
        <v>6.4693021448774228</v>
      </c>
      <c r="H23" s="576">
        <v>0.50134756768978628</v>
      </c>
      <c r="I23" s="577">
        <v>0.14149055608833694</v>
      </c>
      <c r="J23" s="7">
        <v>10.916388043063929</v>
      </c>
      <c r="K23" s="7">
        <v>0.65004861583972418</v>
      </c>
      <c r="L23" s="7">
        <v>0.22199875271662764</v>
      </c>
      <c r="M23" s="576">
        <v>0.43522982853785486</v>
      </c>
      <c r="N23" s="440">
        <f t="shared" si="1"/>
        <v>-0.49176404372891369</v>
      </c>
      <c r="O23" s="440">
        <f t="shared" si="2"/>
        <v>0.24183187470461293</v>
      </c>
      <c r="P23" s="465">
        <f t="shared" si="3"/>
        <v>10.916388043063929</v>
      </c>
      <c r="Q23" s="440">
        <f t="shared" si="4"/>
        <v>10.05181158090384</v>
      </c>
      <c r="R23" s="440">
        <f t="shared" si="5"/>
        <v>11.780964505224018</v>
      </c>
      <c r="S23" s="466">
        <f t="shared" si="6"/>
        <v>-21392.717877181676</v>
      </c>
      <c r="T23" s="440">
        <f t="shared" si="7"/>
        <v>457648378.17268848</v>
      </c>
      <c r="U23" s="466">
        <f t="shared" si="8"/>
        <v>55071.523301731388</v>
      </c>
      <c r="V23" s="467">
        <f t="shared" si="9"/>
        <v>23197.773446237374</v>
      </c>
      <c r="W23" s="467">
        <f t="shared" si="10"/>
        <v>130739.81801753775</v>
      </c>
      <c r="X23" s="468">
        <f t="shared" si="11"/>
        <v>0.63519823840271195</v>
      </c>
      <c r="Y23" s="468">
        <f t="shared" si="12"/>
        <v>0.63519823840271195</v>
      </c>
      <c r="Z23" s="517">
        <f t="shared" si="13"/>
        <v>8.8702652307234988</v>
      </c>
      <c r="AA23" s="471">
        <f t="shared" si="14"/>
        <v>10.879875048602358</v>
      </c>
      <c r="AB23" s="473">
        <f t="shared" si="15"/>
        <v>10.424623999335015</v>
      </c>
      <c r="AC23" s="801">
        <f t="shared" si="16"/>
        <v>78</v>
      </c>
      <c r="AD23" s="435">
        <f t="shared" si="17"/>
        <v>10.015298586442269</v>
      </c>
      <c r="AE23" s="441">
        <f t="shared" si="18"/>
        <v>11.744451510762447</v>
      </c>
    </row>
    <row r="24" spans="1:31">
      <c r="A24" s="134">
        <v>1973</v>
      </c>
      <c r="B24" s="440">
        <f t="shared" si="0"/>
        <v>1979</v>
      </c>
      <c r="C24" s="458">
        <f>VLOOKUP($A24,'Brd Tbl'!$A$8:$AX$64,28)</f>
        <v>9.8369599134965462</v>
      </c>
      <c r="D24" s="458">
        <f>VLOOKUP($A24,'Brd Tbl'!$A$8:$AX$64,34)</f>
        <v>11.333201803339398</v>
      </c>
      <c r="E24" s="7">
        <v>46</v>
      </c>
      <c r="F24" s="7">
        <v>44</v>
      </c>
      <c r="G24" s="576">
        <v>6.2244424607790547</v>
      </c>
      <c r="H24" s="576">
        <v>0.52500628673615746</v>
      </c>
      <c r="I24" s="577">
        <v>0.13846917844458859</v>
      </c>
      <c r="J24" s="7">
        <v>11.388908257736309</v>
      </c>
      <c r="K24" s="7">
        <v>0.65389778643124452</v>
      </c>
      <c r="L24" s="7">
        <v>0.24625905485771826</v>
      </c>
      <c r="M24" s="576">
        <v>0.44041958213879262</v>
      </c>
      <c r="N24" s="440">
        <f t="shared" si="1"/>
        <v>-5.5706454396911909E-2</v>
      </c>
      <c r="O24" s="440">
        <f t="shared" si="2"/>
        <v>3.103209061475226E-3</v>
      </c>
      <c r="P24" s="465">
        <f t="shared" si="3"/>
        <v>11.388908257736309</v>
      </c>
      <c r="Q24" s="440">
        <f t="shared" si="4"/>
        <v>10.52433179557622</v>
      </c>
      <c r="R24" s="440">
        <f t="shared" si="5"/>
        <v>12.253484719896399</v>
      </c>
      <c r="S24" s="466">
        <f t="shared" si="6"/>
        <v>-4786.3579975896137</v>
      </c>
      <c r="T24" s="440">
        <f t="shared" si="7"/>
        <v>22909222.881090056</v>
      </c>
      <c r="U24" s="466">
        <f t="shared" si="8"/>
        <v>88336.46404899683</v>
      </c>
      <c r="V24" s="467">
        <f t="shared" si="9"/>
        <v>37209.961831324465</v>
      </c>
      <c r="W24" s="467">
        <f t="shared" si="10"/>
        <v>209710.80045856509</v>
      </c>
      <c r="X24" s="468">
        <f t="shared" si="11"/>
        <v>5.7287276148334683E-2</v>
      </c>
      <c r="Y24" s="468">
        <f t="shared" si="12"/>
        <v>5.7287276148334683E-2</v>
      </c>
      <c r="Z24" s="517">
        <f t="shared" si="13"/>
        <v>9.8369599134965462</v>
      </c>
      <c r="AA24" s="471">
        <f t="shared" si="14"/>
        <v>11.387686738211665</v>
      </c>
      <c r="AB24" s="473">
        <f t="shared" si="15"/>
        <v>11.333201803339398</v>
      </c>
      <c r="AC24" s="801">
        <f t="shared" si="16"/>
        <v>79</v>
      </c>
      <c r="AD24" s="435">
        <f t="shared" si="17"/>
        <v>10.523110276051575</v>
      </c>
      <c r="AE24" s="441">
        <f t="shared" si="18"/>
        <v>12.252263200371754</v>
      </c>
    </row>
    <row r="25" spans="1:31">
      <c r="A25" s="134">
        <v>1974</v>
      </c>
      <c r="B25" s="440">
        <f t="shared" si="0"/>
        <v>1980</v>
      </c>
      <c r="C25" s="458">
        <f>VLOOKUP($A25,'Brd Tbl'!$A$8:$AX$64,28)</f>
        <v>9.8545823392586307</v>
      </c>
      <c r="D25" s="458">
        <f>VLOOKUP($A25,'Brd Tbl'!$A$8:$AX$64,34)</f>
        <v>10.311052429506699</v>
      </c>
      <c r="E25" s="7">
        <v>46</v>
      </c>
      <c r="F25" s="7">
        <v>44</v>
      </c>
      <c r="G25" s="576">
        <v>6.2948591553891236</v>
      </c>
      <c r="H25" s="576">
        <v>0.52018739528397762</v>
      </c>
      <c r="I25" s="577">
        <v>0.13395939293221329</v>
      </c>
      <c r="J25" s="7">
        <v>11.421088674059558</v>
      </c>
      <c r="K25" s="7">
        <v>0.63265813884820654</v>
      </c>
      <c r="L25" s="7">
        <v>0.25523485192898338</v>
      </c>
      <c r="M25" s="576">
        <v>0.4137005113744549</v>
      </c>
      <c r="N25" s="440">
        <f t="shared" si="1"/>
        <v>-1.1100362445528589</v>
      </c>
      <c r="O25" s="440">
        <f t="shared" si="2"/>
        <v>1.2321804642210143</v>
      </c>
      <c r="P25" s="465">
        <f t="shared" si="3"/>
        <v>11.421088674059558</v>
      </c>
      <c r="Q25" s="440">
        <f t="shared" si="4"/>
        <v>10.556512211899468</v>
      </c>
      <c r="R25" s="440">
        <f t="shared" si="5"/>
        <v>12.285665136219647</v>
      </c>
      <c r="S25" s="466">
        <f>EXP(D25)*C25-U25</f>
        <v>205033.49017127979</v>
      </c>
      <c r="T25" s="440">
        <f t="shared" si="7"/>
        <v>42038732091.816284</v>
      </c>
      <c r="U25" s="466">
        <f t="shared" si="8"/>
        <v>91225.402554454777</v>
      </c>
      <c r="V25" s="467">
        <f t="shared" si="9"/>
        <v>38426.869171667058</v>
      </c>
      <c r="W25" s="467">
        <f t="shared" si="10"/>
        <v>216569.14160881902</v>
      </c>
      <c r="X25" s="468">
        <f t="shared" si="11"/>
        <v>2.0344683753919885</v>
      </c>
      <c r="Y25" s="468">
        <f t="shared" si="12"/>
        <v>2.0344683753919885</v>
      </c>
      <c r="Z25" s="517">
        <f t="shared" si="13"/>
        <v>9.8545823392586307</v>
      </c>
      <c r="AA25" s="471">
        <f t="shared" si="14"/>
        <v>11.396943925574679</v>
      </c>
      <c r="AB25" s="473">
        <f t="shared" si="15"/>
        <v>10.311052429506699</v>
      </c>
      <c r="AC25" s="801">
        <f t="shared" si="16"/>
        <v>80</v>
      </c>
      <c r="AD25" s="435">
        <f t="shared" si="17"/>
        <v>10.532367463414589</v>
      </c>
      <c r="AE25" s="441">
        <f t="shared" si="18"/>
        <v>12.261520387734768</v>
      </c>
    </row>
    <row r="26" spans="1:31">
      <c r="A26" s="134">
        <v>1975</v>
      </c>
      <c r="B26" s="440">
        <f t="shared" si="0"/>
        <v>1981</v>
      </c>
      <c r="C26" s="458">
        <f>VLOOKUP($A26,'Brd Tbl'!$A$8:$AX$64,28)</f>
        <v>10.311052429506699</v>
      </c>
      <c r="D26" s="458">
        <f>VLOOKUP($A26,'Brd Tbl'!$A$8:$AX$64,34)</f>
        <v>11.107014176116621</v>
      </c>
      <c r="E26" s="7">
        <v>46</v>
      </c>
      <c r="F26" s="7">
        <v>44</v>
      </c>
      <c r="G26" s="576">
        <v>6.1459670543001481</v>
      </c>
      <c r="H26" s="576">
        <v>0.53393141504486652</v>
      </c>
      <c r="I26" s="577">
        <v>0.13776426047941492</v>
      </c>
      <c r="J26" s="7">
        <v>11.651361868588468</v>
      </c>
      <c r="K26" s="7">
        <v>0.64892055333637821</v>
      </c>
      <c r="L26" s="7">
        <v>0.25450218553646681</v>
      </c>
      <c r="M26" s="576">
        <v>0.43404542559014159</v>
      </c>
      <c r="N26" s="440">
        <f t="shared" si="1"/>
        <v>-0.54434769247184711</v>
      </c>
      <c r="O26" s="440">
        <f t="shared" si="2"/>
        <v>0.29631441029942462</v>
      </c>
      <c r="P26" s="465">
        <f t="shared" si="3"/>
        <v>11.651361868588468</v>
      </c>
      <c r="Q26" s="440">
        <f t="shared" si="4"/>
        <v>10.786785406428379</v>
      </c>
      <c r="R26" s="440">
        <f t="shared" si="5"/>
        <v>12.515938330748558</v>
      </c>
      <c r="S26" s="466">
        <f t="shared" ref="S26:S58" si="19">EXP(D26)-U26</f>
        <v>-48210.736110317521</v>
      </c>
      <c r="T26" s="440">
        <f t="shared" si="7"/>
        <v>2324275076.2986736</v>
      </c>
      <c r="U26" s="466">
        <f t="shared" si="8"/>
        <v>114847.66402887643</v>
      </c>
      <c r="V26" s="467">
        <f t="shared" si="9"/>
        <v>48377.272522035011</v>
      </c>
      <c r="W26" s="467">
        <f t="shared" si="10"/>
        <v>272648.39965671621</v>
      </c>
      <c r="X26" s="468">
        <f t="shared" si="11"/>
        <v>0.72348377418056886</v>
      </c>
      <c r="Y26" s="468">
        <f t="shared" si="12"/>
        <v>0.72348377418056886</v>
      </c>
      <c r="Z26" s="517">
        <f t="shared" si="13"/>
        <v>10.311052429506699</v>
      </c>
      <c r="AA26" s="471">
        <f t="shared" si="14"/>
        <v>11.636730956491249</v>
      </c>
      <c r="AB26" s="473">
        <f t="shared" si="15"/>
        <v>11.107014176116621</v>
      </c>
      <c r="AC26" s="801">
        <f t="shared" si="16"/>
        <v>81</v>
      </c>
      <c r="AD26" s="435">
        <f t="shared" si="17"/>
        <v>10.77215449433116</v>
      </c>
      <c r="AE26" s="441">
        <f t="shared" si="18"/>
        <v>12.501307418651338</v>
      </c>
    </row>
    <row r="27" spans="1:31">
      <c r="A27" s="134">
        <v>1976</v>
      </c>
      <c r="B27" s="440">
        <f t="shared" si="0"/>
        <v>1982</v>
      </c>
      <c r="C27" s="458">
        <f>VLOOKUP($A27,'Brd Tbl'!$A$8:$AX$64,28)</f>
        <v>9.3922568166298035</v>
      </c>
      <c r="D27" s="458">
        <f>VLOOKUP($A27,'Brd Tbl'!$A$8:$AX$64,34)</f>
        <v>11.250051004390706</v>
      </c>
      <c r="E27" s="7">
        <v>46</v>
      </c>
      <c r="F27" s="7">
        <v>44</v>
      </c>
      <c r="G27" s="576">
        <v>6.1930439836084421</v>
      </c>
      <c r="H27" s="576">
        <v>0.52782787195790526</v>
      </c>
      <c r="I27" s="577">
        <v>0.13942271096579512</v>
      </c>
      <c r="J27" s="7">
        <v>11.15053891201228</v>
      </c>
      <c r="K27" s="7">
        <v>0.65378455671514535</v>
      </c>
      <c r="L27" s="7">
        <v>0.24570165046136488</v>
      </c>
      <c r="M27" s="576">
        <v>0.44027176806340013</v>
      </c>
      <c r="N27" s="440">
        <f t="shared" si="1"/>
        <v>9.9512092378425621E-2</v>
      </c>
      <c r="O27" s="440">
        <f t="shared" si="2"/>
        <v>9.9026565295323148E-3</v>
      </c>
      <c r="P27" s="465">
        <f t="shared" si="3"/>
        <v>11.15053891201228</v>
      </c>
      <c r="Q27" s="440">
        <f t="shared" si="4"/>
        <v>10.285962449852191</v>
      </c>
      <c r="R27" s="440">
        <f t="shared" si="5"/>
        <v>12.015115374172369</v>
      </c>
      <c r="S27" s="466">
        <f t="shared" si="19"/>
        <v>7282.5140934862866</v>
      </c>
      <c r="T27" s="440">
        <f t="shared" si="7"/>
        <v>53035011.521826394</v>
      </c>
      <c r="U27" s="466">
        <f t="shared" si="8"/>
        <v>69601.326984657819</v>
      </c>
      <c r="V27" s="467">
        <f t="shared" si="9"/>
        <v>29318.161513371808</v>
      </c>
      <c r="W27" s="467">
        <f t="shared" si="10"/>
        <v>165233.57768582404</v>
      </c>
      <c r="X27" s="468">
        <f t="shared" si="11"/>
        <v>-9.472099717396272E-2</v>
      </c>
      <c r="Y27" s="468">
        <f t="shared" si="12"/>
        <v>9.472099717396272E-2</v>
      </c>
      <c r="Z27" s="517">
        <f t="shared" si="13"/>
        <v>9.3922568166298035</v>
      </c>
      <c r="AA27" s="471">
        <f t="shared" si="14"/>
        <v>11.154080993793382</v>
      </c>
      <c r="AB27" s="473">
        <f t="shared" si="15"/>
        <v>11.250051004390706</v>
      </c>
      <c r="AC27" s="801">
        <f t="shared" si="16"/>
        <v>82</v>
      </c>
      <c r="AD27" s="435">
        <f t="shared" si="17"/>
        <v>10.289504531633293</v>
      </c>
      <c r="AE27" s="441">
        <f t="shared" si="18"/>
        <v>12.018657455953472</v>
      </c>
    </row>
    <row r="28" spans="1:31">
      <c r="A28" s="134">
        <v>1977</v>
      </c>
      <c r="B28" s="440">
        <f t="shared" si="0"/>
        <v>1983</v>
      </c>
      <c r="C28" s="458">
        <f>VLOOKUP($A28,'Brd Tbl'!$A$8:$AX$64,28)</f>
        <v>10.156317736267425</v>
      </c>
      <c r="D28" s="458">
        <f>VLOOKUP($A28,'Brd Tbl'!$A$8:$AX$64,34)</f>
        <v>11.874501853485977</v>
      </c>
      <c r="E28" s="7">
        <v>46</v>
      </c>
      <c r="F28" s="7">
        <v>44</v>
      </c>
      <c r="G28" s="576">
        <v>6.2422842260007103</v>
      </c>
      <c r="H28" s="576">
        <v>0.52239764750192175</v>
      </c>
      <c r="I28" s="577">
        <v>0.13817553700640184</v>
      </c>
      <c r="J28" s="7">
        <v>11.547920718708856</v>
      </c>
      <c r="K28" s="7">
        <v>0.6521373942205827</v>
      </c>
      <c r="L28" s="7">
        <v>0.24519951077696611</v>
      </c>
      <c r="M28" s="576">
        <v>0.43816845108377445</v>
      </c>
      <c r="N28" s="440">
        <f t="shared" si="1"/>
        <v>0.32658113477712192</v>
      </c>
      <c r="O28" s="440">
        <f t="shared" si="2"/>
        <v>0.10665523759231267</v>
      </c>
      <c r="P28" s="465">
        <f t="shared" si="3"/>
        <v>11.547920718708856</v>
      </c>
      <c r="Q28" s="440">
        <f t="shared" si="4"/>
        <v>10.683344256548766</v>
      </c>
      <c r="R28" s="440">
        <f t="shared" si="5"/>
        <v>12.412497180868945</v>
      </c>
      <c r="S28" s="466">
        <f t="shared" si="19"/>
        <v>39997.588694778053</v>
      </c>
      <c r="T28" s="440">
        <f t="shared" si="7"/>
        <v>1599807101.3966372</v>
      </c>
      <c r="U28" s="466">
        <f t="shared" si="8"/>
        <v>103561.4793489467</v>
      </c>
      <c r="V28" s="467">
        <f t="shared" si="9"/>
        <v>43623.19383343673</v>
      </c>
      <c r="W28" s="467">
        <f t="shared" si="10"/>
        <v>245854.99277959167</v>
      </c>
      <c r="X28" s="468">
        <f t="shared" si="11"/>
        <v>-0.27861415680544621</v>
      </c>
      <c r="Y28" s="468">
        <f t="shared" si="12"/>
        <v>0.27861415680544621</v>
      </c>
      <c r="Z28" s="517">
        <f t="shared" si="13"/>
        <v>10.156317736267425</v>
      </c>
      <c r="AA28" s="471">
        <f t="shared" si="14"/>
        <v>11.555447706034535</v>
      </c>
      <c r="AB28" s="473">
        <f t="shared" si="15"/>
        <v>11.874501853485977</v>
      </c>
      <c r="AC28" s="801">
        <f t="shared" si="16"/>
        <v>83</v>
      </c>
      <c r="AD28" s="435">
        <f t="shared" si="17"/>
        <v>10.690871243874446</v>
      </c>
      <c r="AE28" s="441">
        <f t="shared" si="18"/>
        <v>12.420024168194624</v>
      </c>
    </row>
    <row r="29" spans="1:31">
      <c r="A29" s="134">
        <v>1978</v>
      </c>
      <c r="B29" s="440">
        <f t="shared" si="0"/>
        <v>1984</v>
      </c>
      <c r="C29" s="458">
        <f>VLOOKUP($A29,'Brd Tbl'!$A$8:$AX$64,28)</f>
        <v>10.33729449231382</v>
      </c>
      <c r="D29" s="458">
        <f>VLOOKUP($A29,'Brd Tbl'!$A$8:$AX$64,34)</f>
        <v>11.832392100060035</v>
      </c>
      <c r="E29" s="7">
        <v>46</v>
      </c>
      <c r="F29" s="7">
        <v>44</v>
      </c>
      <c r="G29" s="576">
        <v>6.2479822674505288</v>
      </c>
      <c r="H29" s="576">
        <v>0.52212352085087332</v>
      </c>
      <c r="I29" s="577">
        <v>0.13876804478458468</v>
      </c>
      <c r="J29" s="7">
        <v>11.64532686384976</v>
      </c>
      <c r="K29" s="7">
        <v>0.65335905397814131</v>
      </c>
      <c r="L29" s="7">
        <v>0.24342572465387319</v>
      </c>
      <c r="M29" s="576">
        <v>0.4397263170619029</v>
      </c>
      <c r="N29" s="440">
        <f t="shared" si="1"/>
        <v>0.18706523621027493</v>
      </c>
      <c r="O29" s="440">
        <f t="shared" si="2"/>
        <v>3.4993402598405957E-2</v>
      </c>
      <c r="P29" s="465">
        <f t="shared" si="3"/>
        <v>11.64532686384976</v>
      </c>
      <c r="Q29" s="440">
        <f t="shared" si="4"/>
        <v>10.780750401689671</v>
      </c>
      <c r="R29" s="440">
        <f t="shared" si="5"/>
        <v>12.50990332600985</v>
      </c>
      <c r="S29" s="466">
        <f t="shared" si="19"/>
        <v>23482.699774754466</v>
      </c>
      <c r="T29" s="440">
        <f t="shared" si="7"/>
        <v>551437188.71125352</v>
      </c>
      <c r="U29" s="466">
        <f t="shared" si="8"/>
        <v>114156.64508086062</v>
      </c>
      <c r="V29" s="467">
        <f t="shared" si="9"/>
        <v>48086.19466469482</v>
      </c>
      <c r="W29" s="467">
        <f t="shared" si="10"/>
        <v>271007.92040185205</v>
      </c>
      <c r="X29" s="468">
        <f t="shared" si="11"/>
        <v>-0.17061037161567449</v>
      </c>
      <c r="Y29" s="468">
        <f t="shared" si="12"/>
        <v>0.17061037161567449</v>
      </c>
      <c r="Z29" s="517">
        <f t="shared" si="13"/>
        <v>10.33729449231382</v>
      </c>
      <c r="AA29" s="471">
        <f t="shared" si="14"/>
        <v>11.65051610136728</v>
      </c>
      <c r="AB29" s="473">
        <f t="shared" si="15"/>
        <v>11.832392100060035</v>
      </c>
      <c r="AC29" s="801">
        <f t="shared" si="16"/>
        <v>84</v>
      </c>
      <c r="AD29" s="435">
        <f t="shared" si="17"/>
        <v>10.785939639207191</v>
      </c>
      <c r="AE29" s="441">
        <f t="shared" si="18"/>
        <v>12.51509256352737</v>
      </c>
    </row>
    <row r="30" spans="1:31">
      <c r="A30" s="134">
        <v>1979</v>
      </c>
      <c r="B30" s="440">
        <f t="shared" si="0"/>
        <v>1985</v>
      </c>
      <c r="C30" s="458">
        <f>VLOOKUP($A30,'Brd Tbl'!$A$8:$AX$64,28)</f>
        <v>9.7108349849448086</v>
      </c>
      <c r="D30" s="458">
        <f>VLOOKUP($A30,'Brd Tbl'!$A$8:$AX$64,34)</f>
        <v>12.03909876504431</v>
      </c>
      <c r="E30" s="7">
        <v>46</v>
      </c>
      <c r="F30" s="7">
        <v>44</v>
      </c>
      <c r="G30" s="576">
        <v>6.123679593311409</v>
      </c>
      <c r="H30" s="576">
        <v>0.53343536376439971</v>
      </c>
      <c r="I30" s="577">
        <v>0.13666978884143338</v>
      </c>
      <c r="J30" s="7">
        <v>11.303782385961501</v>
      </c>
      <c r="K30" s="7">
        <v>0.64471532118959607</v>
      </c>
      <c r="L30" s="7">
        <v>0.25718540188701461</v>
      </c>
      <c r="M30" s="576">
        <v>0.42873290891518445</v>
      </c>
      <c r="N30" s="440">
        <f t="shared" si="1"/>
        <v>0.73531637908280878</v>
      </c>
      <c r="O30" s="440">
        <f t="shared" si="2"/>
        <v>0.54069017734745295</v>
      </c>
      <c r="P30" s="465">
        <f t="shared" si="3"/>
        <v>11.303782385961501</v>
      </c>
      <c r="Q30" s="440">
        <f t="shared" si="4"/>
        <v>10.439205923801412</v>
      </c>
      <c r="R30" s="440">
        <f t="shared" si="5"/>
        <v>12.16835884812159</v>
      </c>
      <c r="S30" s="466">
        <f t="shared" si="19"/>
        <v>88116.427757481011</v>
      </c>
      <c r="T30" s="440">
        <f t="shared" si="7"/>
        <v>7764504840.7393703</v>
      </c>
      <c r="U30" s="466">
        <f t="shared" si="8"/>
        <v>81127.915032229372</v>
      </c>
      <c r="V30" s="467">
        <f t="shared" si="9"/>
        <v>34173.505293689319</v>
      </c>
      <c r="W30" s="467">
        <f t="shared" si="10"/>
        <v>192597.7022524538</v>
      </c>
      <c r="X30" s="468">
        <f t="shared" si="11"/>
        <v>-0.52064622252672577</v>
      </c>
      <c r="Y30" s="468">
        <f t="shared" si="12"/>
        <v>0.52064622252672577</v>
      </c>
      <c r="Z30" s="517">
        <f t="shared" si="13"/>
        <v>9.7108349849448086</v>
      </c>
      <c r="AA30" s="471">
        <f t="shared" si="14"/>
        <v>11.321432403506952</v>
      </c>
      <c r="AB30" s="473">
        <f t="shared" si="15"/>
        <v>12.03909876504431</v>
      </c>
      <c r="AC30" s="801">
        <f t="shared" si="16"/>
        <v>85</v>
      </c>
      <c r="AD30" s="435">
        <f t="shared" si="17"/>
        <v>10.456855941346863</v>
      </c>
      <c r="AE30" s="441">
        <f t="shared" si="18"/>
        <v>12.186008865667041</v>
      </c>
    </row>
    <row r="31" spans="1:31">
      <c r="A31" s="134">
        <v>1980</v>
      </c>
      <c r="B31" s="440">
        <f t="shared" si="0"/>
        <v>1986</v>
      </c>
      <c r="C31" s="458">
        <f>VLOOKUP($A31,'Brd Tbl'!$A$8:$AX$64,28)</f>
        <v>10.181945149571556</v>
      </c>
      <c r="D31" s="458">
        <f>VLOOKUP($A31,'Brd Tbl'!$A$8:$AX$64,34)</f>
        <v>11.946366878055242</v>
      </c>
      <c r="E31" s="7">
        <v>46</v>
      </c>
      <c r="F31" s="7">
        <v>44</v>
      </c>
      <c r="G31" s="576">
        <v>6.250749002437396</v>
      </c>
      <c r="H31" s="576">
        <v>0.52141941114113111</v>
      </c>
      <c r="I31" s="577">
        <v>0.13805580130427006</v>
      </c>
      <c r="J31" s="7">
        <v>11.559812846598293</v>
      </c>
      <c r="K31" s="7">
        <v>0.65141017551850722</v>
      </c>
      <c r="L31" s="7">
        <v>0.24482680170122814</v>
      </c>
      <c r="M31" s="576">
        <v>0.43723869496109397</v>
      </c>
      <c r="N31" s="440">
        <f t="shared" si="1"/>
        <v>0.38655403145694933</v>
      </c>
      <c r="O31" s="440">
        <f t="shared" si="2"/>
        <v>0.14942401923562018</v>
      </c>
      <c r="P31" s="465">
        <f t="shared" si="3"/>
        <v>11.559812846598293</v>
      </c>
      <c r="Q31" s="440">
        <f t="shared" si="4"/>
        <v>10.695236384438203</v>
      </c>
      <c r="R31" s="440">
        <f t="shared" si="5"/>
        <v>12.424389308758382</v>
      </c>
      <c r="S31" s="466">
        <f t="shared" si="19"/>
        <v>49455.299734409055</v>
      </c>
      <c r="T31" s="440">
        <f t="shared" si="7"/>
        <v>2445826671.8202405</v>
      </c>
      <c r="U31" s="466">
        <f t="shared" si="8"/>
        <v>104800.39779317658</v>
      </c>
      <c r="V31" s="467">
        <f t="shared" si="9"/>
        <v>44145.063352646233</v>
      </c>
      <c r="W31" s="467">
        <f t="shared" si="10"/>
        <v>248796.18565435082</v>
      </c>
      <c r="X31" s="468">
        <f t="shared" si="11"/>
        <v>-0.32060598426560505</v>
      </c>
      <c r="Y31" s="468">
        <f t="shared" si="12"/>
        <v>0.32060598426560505</v>
      </c>
      <c r="Z31" s="517">
        <f t="shared" si="13"/>
        <v>10.181945149571556</v>
      </c>
      <c r="AA31" s="471">
        <f t="shared" si="14"/>
        <v>11.568909971093195</v>
      </c>
      <c r="AB31" s="473">
        <f t="shared" si="15"/>
        <v>11.946366878055242</v>
      </c>
      <c r="AC31" s="801">
        <f t="shared" si="16"/>
        <v>86</v>
      </c>
      <c r="AD31" s="435">
        <f t="shared" si="17"/>
        <v>10.704333508933106</v>
      </c>
      <c r="AE31" s="441">
        <f t="shared" si="18"/>
        <v>12.433486433253284</v>
      </c>
    </row>
    <row r="32" spans="1:31">
      <c r="A32" s="134">
        <v>1981</v>
      </c>
      <c r="B32" s="440">
        <f t="shared" si="0"/>
        <v>1987</v>
      </c>
      <c r="C32" s="458">
        <f>VLOOKUP($A32,'Brd Tbl'!$A$8:$AX$64,28)</f>
        <v>9.0619864355716402</v>
      </c>
      <c r="D32" s="458">
        <f>VLOOKUP($A32,'Brd Tbl'!$A$8:$AX$64,34)</f>
        <v>11.473324069819592</v>
      </c>
      <c r="E32" s="7">
        <v>46</v>
      </c>
      <c r="F32" s="7">
        <v>44</v>
      </c>
      <c r="G32" s="576">
        <v>6.0002951536585893</v>
      </c>
      <c r="H32" s="576">
        <v>0.54628089753668085</v>
      </c>
      <c r="I32" s="577">
        <v>0.14007953645508717</v>
      </c>
      <c r="J32" s="7">
        <v>10.950685237147892</v>
      </c>
      <c r="K32" s="7">
        <v>0.64946015699886539</v>
      </c>
      <c r="L32" s="7">
        <v>0.25686181089620802</v>
      </c>
      <c r="M32" s="576">
        <v>0.43454897039194579</v>
      </c>
      <c r="N32" s="440">
        <f t="shared" si="1"/>
        <v>0.5226388326716993</v>
      </c>
      <c r="O32" s="440">
        <f t="shared" si="2"/>
        <v>0.27315134941643648</v>
      </c>
      <c r="P32" s="465">
        <f t="shared" si="3"/>
        <v>10.950685237147892</v>
      </c>
      <c r="Q32" s="440">
        <f t="shared" si="4"/>
        <v>10.086108774987803</v>
      </c>
      <c r="R32" s="440">
        <f t="shared" si="5"/>
        <v>11.815261699307982</v>
      </c>
      <c r="S32" s="466">
        <f t="shared" si="19"/>
        <v>39124.163313735313</v>
      </c>
      <c r="T32" s="440">
        <f t="shared" si="7"/>
        <v>1530700154.9998322</v>
      </c>
      <c r="U32" s="466">
        <f t="shared" si="8"/>
        <v>56993.085768268757</v>
      </c>
      <c r="V32" s="467">
        <f t="shared" si="9"/>
        <v>24007.193053487015</v>
      </c>
      <c r="W32" s="467">
        <f t="shared" si="10"/>
        <v>135301.60807022962</v>
      </c>
      <c r="X32" s="468">
        <f t="shared" si="11"/>
        <v>-0.40704622414189012</v>
      </c>
      <c r="Y32" s="468">
        <f t="shared" si="12"/>
        <v>0.40704622414189012</v>
      </c>
      <c r="Z32" s="517">
        <f t="shared" si="13"/>
        <v>9.0619864355716402</v>
      </c>
      <c r="AA32" s="471">
        <f t="shared" si="14"/>
        <v>10.980587580390146</v>
      </c>
      <c r="AB32" s="473">
        <f t="shared" si="15"/>
        <v>11.473324069819592</v>
      </c>
      <c r="AC32" s="801">
        <f t="shared" si="16"/>
        <v>87</v>
      </c>
      <c r="AD32" s="435">
        <f t="shared" si="17"/>
        <v>10.116011118230057</v>
      </c>
      <c r="AE32" s="441">
        <f t="shared" si="18"/>
        <v>11.845164042550236</v>
      </c>
    </row>
    <row r="33" spans="1:35">
      <c r="A33" s="134">
        <v>1982</v>
      </c>
      <c r="B33" s="440">
        <f t="shared" si="0"/>
        <v>1988</v>
      </c>
      <c r="C33" s="458">
        <f>VLOOKUP($A33,'Brd Tbl'!$A$8:$AX$64,28)</f>
        <v>9.315093953184272</v>
      </c>
      <c r="D33" s="458">
        <f>VLOOKUP($A33,'Brd Tbl'!$A$8:$AX$64,34)</f>
        <v>11.194600157856149</v>
      </c>
      <c r="E33" s="7">
        <v>46</v>
      </c>
      <c r="F33" s="7">
        <v>44</v>
      </c>
      <c r="G33" s="576">
        <v>6.1942679445533431</v>
      </c>
      <c r="H33" s="576">
        <v>0.52773722190710926</v>
      </c>
      <c r="I33" s="577">
        <v>0.13973560846204347</v>
      </c>
      <c r="J33" s="7">
        <v>11.110189749210523</v>
      </c>
      <c r="K33" s="7">
        <v>0.65383163106910158</v>
      </c>
      <c r="L33" s="7">
        <v>0.2448081578095144</v>
      </c>
      <c r="M33" s="576">
        <v>0.44033214935561349</v>
      </c>
      <c r="N33" s="440">
        <f t="shared" si="1"/>
        <v>8.4410408645625878E-2</v>
      </c>
      <c r="O33" s="440">
        <f t="shared" si="2"/>
        <v>7.1251170877215516E-3</v>
      </c>
      <c r="P33" s="465">
        <f t="shared" si="3"/>
        <v>11.110189749210523</v>
      </c>
      <c r="Q33" s="440">
        <f t="shared" si="4"/>
        <v>10.245613287050434</v>
      </c>
      <c r="R33" s="440">
        <f t="shared" si="5"/>
        <v>11.974766211370612</v>
      </c>
      <c r="S33" s="466">
        <f t="shared" si="19"/>
        <v>5887.7385525723075</v>
      </c>
      <c r="T33" s="440">
        <f t="shared" si="7"/>
        <v>34665465.263446249</v>
      </c>
      <c r="U33" s="466">
        <f t="shared" si="8"/>
        <v>66848.874702058281</v>
      </c>
      <c r="V33" s="467">
        <f t="shared" si="9"/>
        <v>28158.746253991907</v>
      </c>
      <c r="W33" s="467">
        <f t="shared" si="10"/>
        <v>158699.25488241418</v>
      </c>
      <c r="X33" s="468">
        <f t="shared" si="11"/>
        <v>-8.0946009019707554E-2</v>
      </c>
      <c r="Y33" s="468">
        <f t="shared" si="12"/>
        <v>8.0946009019707554E-2</v>
      </c>
      <c r="Z33" s="517">
        <f t="shared" si="13"/>
        <v>9.315093953184272</v>
      </c>
      <c r="AA33" s="471">
        <f t="shared" si="14"/>
        <v>11.113546785051318</v>
      </c>
      <c r="AB33" s="473">
        <f t="shared" si="15"/>
        <v>11.194600157856149</v>
      </c>
      <c r="AC33" s="801">
        <f t="shared" si="16"/>
        <v>88</v>
      </c>
      <c r="AD33" s="435">
        <f t="shared" si="17"/>
        <v>10.248970322891228</v>
      </c>
      <c r="AE33" s="441">
        <f t="shared" si="18"/>
        <v>11.978123247211407</v>
      </c>
    </row>
    <row r="34" spans="1:35">
      <c r="A34" s="134">
        <v>1983</v>
      </c>
      <c r="B34" s="440">
        <f t="shared" si="0"/>
        <v>1989</v>
      </c>
      <c r="C34" s="458">
        <f>VLOOKUP($A34,'Brd Tbl'!$A$8:$AX$64,28)</f>
        <v>9.8560775278142092</v>
      </c>
      <c r="D34" s="458">
        <f>VLOOKUP($A34,'Brd Tbl'!$A$8:$AX$64,34)</f>
        <v>11.925526431997534</v>
      </c>
      <c r="E34" s="7">
        <v>46</v>
      </c>
      <c r="F34" s="7">
        <v>44</v>
      </c>
      <c r="G34" s="576">
        <v>6.1843626852025855</v>
      </c>
      <c r="H34" s="576">
        <v>0.52775951350826356</v>
      </c>
      <c r="I34" s="577">
        <v>0.13741515620798758</v>
      </c>
      <c r="J34" s="7">
        <v>11.386001366381542</v>
      </c>
      <c r="K34" s="7">
        <v>0.64898342317453794</v>
      </c>
      <c r="L34" s="7">
        <v>0.25106852713414002</v>
      </c>
      <c r="M34" s="576">
        <v>0.43415905850039138</v>
      </c>
      <c r="N34" s="440">
        <f t="shared" si="1"/>
        <v>0.53952506561599201</v>
      </c>
      <c r="O34" s="440">
        <f t="shared" si="2"/>
        <v>0.29108729642794046</v>
      </c>
      <c r="P34" s="465">
        <f t="shared" si="3"/>
        <v>11.386001366381542</v>
      </c>
      <c r="Q34" s="440">
        <f t="shared" si="4"/>
        <v>10.521424904221453</v>
      </c>
      <c r="R34" s="440">
        <f t="shared" si="5"/>
        <v>12.250577828541632</v>
      </c>
      <c r="S34" s="466">
        <f t="shared" si="19"/>
        <v>62994.15456803031</v>
      </c>
      <c r="T34" s="440">
        <f t="shared" si="7"/>
        <v>3968263509.7408938</v>
      </c>
      <c r="U34" s="466">
        <f t="shared" si="8"/>
        <v>88080.052406292685</v>
      </c>
      <c r="V34" s="467">
        <f t="shared" si="9"/>
        <v>37101.953575154781</v>
      </c>
      <c r="W34" s="467">
        <f t="shared" si="10"/>
        <v>209102.07911775442</v>
      </c>
      <c r="X34" s="468">
        <f t="shared" si="11"/>
        <v>-0.41697491471020581</v>
      </c>
      <c r="Y34" s="468">
        <f t="shared" si="12"/>
        <v>0.41697491471020581</v>
      </c>
      <c r="Z34" s="517">
        <f t="shared" si="13"/>
        <v>9.8560775278142092</v>
      </c>
      <c r="AA34" s="471">
        <f t="shared" si="14"/>
        <v>11.397729358907688</v>
      </c>
      <c r="AB34" s="473">
        <f t="shared" si="15"/>
        <v>11.925526431997534</v>
      </c>
      <c r="AC34" s="801">
        <f t="shared" si="16"/>
        <v>89</v>
      </c>
      <c r="AD34" s="435">
        <f t="shared" si="17"/>
        <v>10.533152896747598</v>
      </c>
      <c r="AE34" s="441">
        <f t="shared" si="18"/>
        <v>12.262305821067777</v>
      </c>
    </row>
    <row r="35" spans="1:35">
      <c r="A35" s="134">
        <v>1984</v>
      </c>
      <c r="B35" s="440">
        <f t="shared" si="0"/>
        <v>1990</v>
      </c>
      <c r="C35" s="458">
        <f>VLOOKUP($A35,'Brd Tbl'!$A$8:$AX$64,28)</f>
        <v>9.8974061373719184</v>
      </c>
      <c r="D35" s="458">
        <f>VLOOKUP($A35,'Brd Tbl'!$A$8:$AX$64,34)</f>
        <v>12.310883218316269</v>
      </c>
      <c r="E35" s="7">
        <v>46</v>
      </c>
      <c r="F35" s="7">
        <v>44</v>
      </c>
      <c r="G35" s="576">
        <v>6.1764476611874395</v>
      </c>
      <c r="H35" s="576">
        <v>0.52776070512316042</v>
      </c>
      <c r="I35" s="577">
        <v>0.13542527983458311</v>
      </c>
      <c r="J35" s="7">
        <v>11.399909703137139</v>
      </c>
      <c r="K35" s="7">
        <v>0.639683435169769</v>
      </c>
      <c r="L35" s="7">
        <v>0.25659466228118077</v>
      </c>
      <c r="M35" s="576">
        <v>0.42244633134974185</v>
      </c>
      <c r="N35" s="440">
        <f t="shared" si="1"/>
        <v>0.91097351517912983</v>
      </c>
      <c r="O35" s="440">
        <f t="shared" si="2"/>
        <v>0.8298727453578203</v>
      </c>
      <c r="P35" s="465">
        <f t="shared" si="3"/>
        <v>11.399909703137139</v>
      </c>
      <c r="Q35" s="440">
        <f t="shared" si="4"/>
        <v>10.535333240977049</v>
      </c>
      <c r="R35" s="440">
        <f t="shared" si="5"/>
        <v>12.264486165297228</v>
      </c>
      <c r="S35" s="466">
        <f t="shared" si="19"/>
        <v>132786.3880396075</v>
      </c>
      <c r="T35" s="440">
        <f t="shared" si="7"/>
        <v>17632224848.605217</v>
      </c>
      <c r="U35" s="466">
        <f t="shared" si="8"/>
        <v>89313.65825353314</v>
      </c>
      <c r="V35" s="467">
        <f t="shared" si="9"/>
        <v>37621.585269550604</v>
      </c>
      <c r="W35" s="467">
        <f t="shared" si="10"/>
        <v>212030.65988516744</v>
      </c>
      <c r="X35" s="468">
        <f t="shared" si="11"/>
        <v>-0.59786744872780551</v>
      </c>
      <c r="Y35" s="468">
        <f t="shared" si="12"/>
        <v>0.59786744872780551</v>
      </c>
      <c r="Z35" s="517">
        <f t="shared" si="13"/>
        <v>9.8974061373719184</v>
      </c>
      <c r="AA35" s="471">
        <f t="shared" si="14"/>
        <v>11.419439575610753</v>
      </c>
      <c r="AB35" s="473">
        <f t="shared" si="15"/>
        <v>12.310883218316269</v>
      </c>
      <c r="AC35" s="801">
        <f t="shared" si="16"/>
        <v>90</v>
      </c>
      <c r="AD35" s="435">
        <f t="shared" si="17"/>
        <v>10.554863113450663</v>
      </c>
      <c r="AE35" s="441">
        <f t="shared" si="18"/>
        <v>12.284016037770842</v>
      </c>
    </row>
    <row r="36" spans="1:35">
      <c r="A36" s="134">
        <v>1985</v>
      </c>
      <c r="B36" s="440">
        <f t="shared" si="0"/>
        <v>1991</v>
      </c>
      <c r="C36" s="458">
        <f>VLOOKUP($A36,'Brd Tbl'!$A$8:$AX$64,28)</f>
        <v>11.093224203115401</v>
      </c>
      <c r="D36" s="458">
        <f>VLOOKUP($A36,'Brd Tbl'!$A$8:$AX$64,34)</f>
        <v>11.13243535189706</v>
      </c>
      <c r="E36" s="7">
        <v>46</v>
      </c>
      <c r="F36" s="7">
        <v>44</v>
      </c>
      <c r="G36" s="576">
        <v>5.7377880235620555</v>
      </c>
      <c r="H36" s="576">
        <v>0.57588378353893521</v>
      </c>
      <c r="I36" s="577">
        <v>0.13922097152163332</v>
      </c>
      <c r="J36" s="7">
        <v>12.126195949297841</v>
      </c>
      <c r="K36" s="7">
        <v>0.63795110777096065</v>
      </c>
      <c r="L36" s="7">
        <v>0.27999172200581546</v>
      </c>
      <c r="M36" s="576">
        <v>0.41901834483694761</v>
      </c>
      <c r="N36" s="440">
        <f t="shared" si="1"/>
        <v>-0.99376059740078126</v>
      </c>
      <c r="O36" s="440">
        <f t="shared" si="2"/>
        <v>0.9875601249463577</v>
      </c>
      <c r="P36" s="465">
        <f t="shared" si="3"/>
        <v>12.126195949297841</v>
      </c>
      <c r="Q36" s="440">
        <f t="shared" si="4"/>
        <v>11.261619487137752</v>
      </c>
      <c r="R36" s="440">
        <f t="shared" si="5"/>
        <v>12.990772411457931</v>
      </c>
      <c r="S36" s="466">
        <f t="shared" si="19"/>
        <v>-116293.40323382473</v>
      </c>
      <c r="T36" s="440">
        <f t="shared" si="7"/>
        <v>13524155635.704958</v>
      </c>
      <c r="U36" s="466">
        <f t="shared" si="8"/>
        <v>184646.03542557525</v>
      </c>
      <c r="V36" s="467">
        <f t="shared" si="9"/>
        <v>77778.435037654926</v>
      </c>
      <c r="W36" s="467">
        <f t="shared" si="10"/>
        <v>438349.76085436478</v>
      </c>
      <c r="X36" s="468">
        <f t="shared" si="11"/>
        <v>1.7013741754316845</v>
      </c>
      <c r="Y36" s="468">
        <f t="shared" si="12"/>
        <v>1.7013741754316845</v>
      </c>
      <c r="Z36" s="441">
        <f t="shared" si="13"/>
        <v>11.093224203115401</v>
      </c>
      <c r="AA36" s="480">
        <f t="shared" si="14"/>
        <v>12.047611430956621</v>
      </c>
      <c r="AB36" s="473">
        <f t="shared" si="15"/>
        <v>11.13243535189706</v>
      </c>
      <c r="AC36" s="801">
        <f t="shared" si="16"/>
        <v>91</v>
      </c>
      <c r="AD36" s="435">
        <f t="shared" si="17"/>
        <v>11.183034968796532</v>
      </c>
      <c r="AE36" s="441">
        <f t="shared" si="18"/>
        <v>12.912187893116711</v>
      </c>
    </row>
    <row r="37" spans="1:35">
      <c r="A37" s="134">
        <v>1986</v>
      </c>
      <c r="B37" s="440">
        <f t="shared" si="0"/>
        <v>1992</v>
      </c>
      <c r="C37" s="458">
        <f>VLOOKUP($A37,'Brd Tbl'!$A$8:$AX$64,28)</f>
        <v>8.7360473966242616</v>
      </c>
      <c r="D37" s="458">
        <f>VLOOKUP($A37,'Brd Tbl'!$A$8:$AX$64,34)</f>
        <v>11.536437818183675</v>
      </c>
      <c r="E37" s="7">
        <v>46</v>
      </c>
      <c r="F37" s="7">
        <v>44</v>
      </c>
      <c r="G37" s="576">
        <v>5.7687138551328951</v>
      </c>
      <c r="H37" s="576">
        <v>0.56895088373214198</v>
      </c>
      <c r="I37" s="577">
        <v>0.14119294901568405</v>
      </c>
      <c r="J37" s="7">
        <v>10.739095741768146</v>
      </c>
      <c r="K37" s="7">
        <v>0.64379794307488369</v>
      </c>
      <c r="L37" s="7">
        <v>0.26955998092316064</v>
      </c>
      <c r="M37" s="576">
        <v>0.42666629566572445</v>
      </c>
      <c r="N37" s="440">
        <f t="shared" si="1"/>
        <v>0.79734207641552857</v>
      </c>
      <c r="O37" s="440">
        <f t="shared" si="2"/>
        <v>0.63575438682262664</v>
      </c>
      <c r="P37" s="465">
        <f t="shared" si="3"/>
        <v>10.739095741768146</v>
      </c>
      <c r="Q37" s="440">
        <f t="shared" si="4"/>
        <v>9.874519279608057</v>
      </c>
      <c r="R37" s="440">
        <f t="shared" si="5"/>
        <v>11.603672203928236</v>
      </c>
      <c r="S37" s="466">
        <f t="shared" si="19"/>
        <v>56254.770023101119</v>
      </c>
      <c r="T37" s="440">
        <f t="shared" si="7"/>
        <v>3164599150.3519964</v>
      </c>
      <c r="U37" s="466">
        <f t="shared" si="8"/>
        <v>46124.324754560461</v>
      </c>
      <c r="V37" s="467">
        <f t="shared" si="9"/>
        <v>19428.945703111367</v>
      </c>
      <c r="W37" s="467">
        <f t="shared" si="10"/>
        <v>109499.16514118758</v>
      </c>
      <c r="X37" s="468">
        <f t="shared" si="11"/>
        <v>-0.54947516526953633</v>
      </c>
      <c r="Y37" s="468">
        <f t="shared" si="12"/>
        <v>0.54947516526953633</v>
      </c>
      <c r="Z37" s="441">
        <f t="shared" si="13"/>
        <v>8.7360473966242616</v>
      </c>
      <c r="AA37" s="480">
        <f t="shared" si="14"/>
        <v>10.809369452239583</v>
      </c>
      <c r="AB37" s="473">
        <f t="shared" si="15"/>
        <v>11.536437818183675</v>
      </c>
      <c r="AC37" s="801">
        <f t="shared" si="16"/>
        <v>92</v>
      </c>
      <c r="AD37" s="435">
        <f t="shared" si="17"/>
        <v>9.9447929900794936</v>
      </c>
      <c r="AE37" s="441">
        <f t="shared" si="18"/>
        <v>11.673945914399672</v>
      </c>
    </row>
    <row r="38" spans="1:35">
      <c r="A38" s="134">
        <v>1987</v>
      </c>
      <c r="B38" s="440">
        <f t="shared" si="0"/>
        <v>1993</v>
      </c>
      <c r="C38" s="458">
        <f>VLOOKUP($A38,'Brd Tbl'!$A$8:$AX$64,28)</f>
        <v>10.111457545898483</v>
      </c>
      <c r="D38" s="458">
        <f>VLOOKUP($A38,'Brd Tbl'!$A$8:$AX$64,34)</f>
        <v>12.031153527709229</v>
      </c>
      <c r="E38" s="7">
        <v>46</v>
      </c>
      <c r="F38" s="7">
        <v>44</v>
      </c>
      <c r="G38" s="576">
        <v>6.2444766425061138</v>
      </c>
      <c r="H38" s="576">
        <v>0.52178410091464511</v>
      </c>
      <c r="I38" s="577">
        <v>0.13756783628846991</v>
      </c>
      <c r="J38" s="7">
        <v>11.520474427029358</v>
      </c>
      <c r="K38" s="7">
        <v>0.64950487537280899</v>
      </c>
      <c r="L38" s="7">
        <v>0.24639802470973859</v>
      </c>
      <c r="M38" s="576">
        <v>0.43481762703423366</v>
      </c>
      <c r="N38" s="440">
        <f t="shared" si="1"/>
        <v>0.51067910067987121</v>
      </c>
      <c r="O38" s="440">
        <f t="shared" si="2"/>
        <v>0.26079314387120206</v>
      </c>
      <c r="P38" s="465">
        <f t="shared" si="3"/>
        <v>11.520474427029358</v>
      </c>
      <c r="Q38" s="440">
        <f t="shared" si="4"/>
        <v>10.655897964869268</v>
      </c>
      <c r="R38" s="440">
        <f t="shared" si="5"/>
        <v>12.385050889189447</v>
      </c>
      <c r="S38" s="466">
        <f t="shared" si="19"/>
        <v>67147.231394905655</v>
      </c>
      <c r="T38" s="440">
        <f t="shared" si="7"/>
        <v>4508750684.0010033</v>
      </c>
      <c r="U38" s="466">
        <f t="shared" si="8"/>
        <v>100757.75273072987</v>
      </c>
      <c r="V38" s="467">
        <f t="shared" si="9"/>
        <v>42442.180289681448</v>
      </c>
      <c r="W38" s="467">
        <f t="shared" si="10"/>
        <v>239198.94468322329</v>
      </c>
      <c r="X38" s="468">
        <f t="shared" si="11"/>
        <v>-0.3999120797073093</v>
      </c>
      <c r="Y38" s="468">
        <f t="shared" si="12"/>
        <v>0.3999120797073093</v>
      </c>
      <c r="Z38" s="473">
        <f t="shared" si="13"/>
        <v>10.111457545898483</v>
      </c>
      <c r="AA38" s="480">
        <f t="shared" si="14"/>
        <v>11.531882324458111</v>
      </c>
      <c r="AB38" s="473">
        <f t="shared" si="15"/>
        <v>12.031153527709229</v>
      </c>
      <c r="AC38" s="801">
        <f t="shared" si="16"/>
        <v>93</v>
      </c>
      <c r="AD38" s="435">
        <f t="shared" si="17"/>
        <v>10.667305862298022</v>
      </c>
      <c r="AE38" s="441">
        <f t="shared" si="18"/>
        <v>12.396458786618201</v>
      </c>
    </row>
    <row r="39" spans="1:35">
      <c r="A39" s="134">
        <v>1988</v>
      </c>
      <c r="B39" s="440">
        <f t="shared" si="0"/>
        <v>1994</v>
      </c>
      <c r="C39" s="458">
        <f>VLOOKUP($A39,'Brd Tbl'!$A$8:$AX$64,28)</f>
        <v>9.9129617126545728</v>
      </c>
      <c r="D39" s="458">
        <f>VLOOKUP($A39,'Brd Tbl'!$A$8:$AX$64,34)</f>
        <v>10.935939568976963</v>
      </c>
      <c r="E39" s="7">
        <v>46</v>
      </c>
      <c r="F39" s="7">
        <v>44</v>
      </c>
      <c r="G39" s="576">
        <v>6.2409365404360582</v>
      </c>
      <c r="H39" s="576">
        <v>0.52430431966172775</v>
      </c>
      <c r="I39" s="577">
        <v>0.13752885807750503</v>
      </c>
      <c r="J39" s="7">
        <v>11.438345187022168</v>
      </c>
      <c r="K39" s="7">
        <v>0.64964393257728759</v>
      </c>
      <c r="L39" s="7">
        <v>0.24829757259491242</v>
      </c>
      <c r="M39" s="576">
        <v>0.43499983874788173</v>
      </c>
      <c r="N39" s="440">
        <f t="shared" si="1"/>
        <v>-0.50240561804520567</v>
      </c>
      <c r="O39" s="440">
        <f t="shared" si="2"/>
        <v>0.25241140504338511</v>
      </c>
      <c r="P39" s="465">
        <f t="shared" si="3"/>
        <v>11.438345187022168</v>
      </c>
      <c r="Q39" s="440">
        <f t="shared" ref="Q39:Q59" si="20">$P39-(SQRT($O$63)*$Q$63)</f>
        <v>10.573768724862079</v>
      </c>
      <c r="R39" s="440">
        <f t="shared" si="5"/>
        <v>12.302921649182258</v>
      </c>
      <c r="S39" s="466">
        <f t="shared" si="19"/>
        <v>-36654.445813707935</v>
      </c>
      <c r="T39" s="440">
        <f t="shared" si="7"/>
        <v>1343548397.9100511</v>
      </c>
      <c r="U39" s="466">
        <f t="shared" si="8"/>
        <v>92813.296245845122</v>
      </c>
      <c r="V39" s="467">
        <f t="shared" si="9"/>
        <v>39095.737506900208</v>
      </c>
      <c r="W39" s="467">
        <f t="shared" si="10"/>
        <v>220338.80185783998</v>
      </c>
      <c r="X39" s="468">
        <f t="shared" si="11"/>
        <v>0.65269223874162929</v>
      </c>
      <c r="Y39" s="468">
        <f t="shared" si="12"/>
        <v>0.65269223874162929</v>
      </c>
      <c r="Z39" s="471">
        <f t="shared" si="13"/>
        <v>9.9129617126545728</v>
      </c>
      <c r="AA39" s="480">
        <f t="shared" si="14"/>
        <v>11.427611031508771</v>
      </c>
      <c r="AB39" s="473">
        <f t="shared" si="15"/>
        <v>10.935939568976963</v>
      </c>
      <c r="AC39" s="801">
        <f t="shared" si="16"/>
        <v>94</v>
      </c>
      <c r="AD39" s="435">
        <f t="shared" si="17"/>
        <v>10.563034569348682</v>
      </c>
      <c r="AE39" s="441">
        <f t="shared" si="18"/>
        <v>12.292187493668861</v>
      </c>
      <c r="AH39" s="54" t="s">
        <v>180</v>
      </c>
      <c r="AI39" s="465">
        <f>ROUND(L61,5)</f>
        <v>0.24657000000000001</v>
      </c>
    </row>
    <row r="40" spans="1:35">
      <c r="A40" s="134">
        <v>1989</v>
      </c>
      <c r="B40" s="440">
        <f t="shared" si="0"/>
        <v>1995</v>
      </c>
      <c r="C40" s="458">
        <f>VLOOKUP($A40,'Brd Tbl'!$A$8:$AX$64,28)</f>
        <v>9.6129829013257417</v>
      </c>
      <c r="D40" s="458">
        <f>VLOOKUP($A40,'Brd Tbl'!$A$8:$AX$64,34)</f>
        <v>11.637273415799703</v>
      </c>
      <c r="E40" s="7">
        <v>46</v>
      </c>
      <c r="F40" s="7">
        <v>44</v>
      </c>
      <c r="G40" s="576">
        <v>6.1542334884672441</v>
      </c>
      <c r="H40" s="576">
        <v>0.53113197160347492</v>
      </c>
      <c r="I40" s="577">
        <v>0.13829998535909716</v>
      </c>
      <c r="J40" s="7">
        <v>11.259996049838879</v>
      </c>
      <c r="K40" s="7">
        <v>0.65153846599725629</v>
      </c>
      <c r="L40" s="7">
        <v>0.25105023550232181</v>
      </c>
      <c r="M40" s="576">
        <v>0.43739273427346975</v>
      </c>
      <c r="N40" s="440">
        <f t="shared" si="1"/>
        <v>0.37727736596082373</v>
      </c>
      <c r="O40" s="440">
        <f t="shared" si="2"/>
        <v>0.14233821086633733</v>
      </c>
      <c r="P40" s="465">
        <f t="shared" si="3"/>
        <v>11.259996049838879</v>
      </c>
      <c r="Q40" s="440">
        <f t="shared" si="20"/>
        <v>10.39541958767879</v>
      </c>
      <c r="R40" s="440">
        <f t="shared" si="5"/>
        <v>12.124572511998968</v>
      </c>
      <c r="S40" s="466">
        <f t="shared" si="19"/>
        <v>35588.713475337048</v>
      </c>
      <c r="T40" s="440">
        <f t="shared" si="7"/>
        <v>1266556526.8296368</v>
      </c>
      <c r="U40" s="466">
        <f t="shared" si="8"/>
        <v>77652.269064150154</v>
      </c>
      <c r="V40" s="467">
        <f t="shared" si="9"/>
        <v>32709.45921482781</v>
      </c>
      <c r="W40" s="467">
        <f t="shared" si="10"/>
        <v>184346.51735476311</v>
      </c>
      <c r="X40" s="468">
        <f t="shared" si="11"/>
        <v>-0.31427414949289445</v>
      </c>
      <c r="Y40" s="468">
        <f t="shared" si="12"/>
        <v>0.31427414949289445</v>
      </c>
      <c r="Z40" s="471">
        <f t="shared" si="13"/>
        <v>9.6129829013257417</v>
      </c>
      <c r="AA40" s="480">
        <f t="shared" si="14"/>
        <v>11.270029998176813</v>
      </c>
      <c r="AB40" s="473">
        <f t="shared" si="15"/>
        <v>11.637273415799703</v>
      </c>
      <c r="AC40" s="801">
        <f t="shared" si="16"/>
        <v>95</v>
      </c>
      <c r="AD40" s="435">
        <f t="shared" si="17"/>
        <v>10.405453536016724</v>
      </c>
      <c r="AE40" s="441">
        <f t="shared" si="18"/>
        <v>12.134606460336903</v>
      </c>
      <c r="AH40" s="54" t="s">
        <v>202</v>
      </c>
      <c r="AI40" s="465">
        <f>ROUND(H61,5)</f>
        <v>0.52531000000000005</v>
      </c>
    </row>
    <row r="41" spans="1:35">
      <c r="A41" s="134">
        <v>1990</v>
      </c>
      <c r="B41" s="440">
        <f t="shared" si="0"/>
        <v>1996</v>
      </c>
      <c r="C41" s="458">
        <f>VLOOKUP($A41,'Brd Tbl'!$A$8:$AX$64,28)</f>
        <v>10.574583142822014</v>
      </c>
      <c r="D41" s="458">
        <f>VLOOKUP($A41,'Brd Tbl'!$A$8:$AX$64,34)</f>
        <v>11.822220700393405</v>
      </c>
      <c r="E41" s="7">
        <v>46</v>
      </c>
      <c r="F41" s="7">
        <v>44</v>
      </c>
      <c r="G41" s="576">
        <v>6.2326929098910044</v>
      </c>
      <c r="H41" s="576">
        <v>0.52395413763380372</v>
      </c>
      <c r="I41" s="577">
        <v>0.13964851968362246</v>
      </c>
      <c r="J41" s="7">
        <v>11.773289501325271</v>
      </c>
      <c r="K41" s="7">
        <v>0.65391051934350597</v>
      </c>
      <c r="L41" s="7">
        <v>0.24238670147357769</v>
      </c>
      <c r="M41" s="576">
        <v>0.44043499402616743</v>
      </c>
      <c r="N41" s="440">
        <f t="shared" si="1"/>
        <v>4.8931199068134035E-2</v>
      </c>
      <c r="O41" s="440">
        <f t="shared" si="2"/>
        <v>2.3942622422453612E-3</v>
      </c>
      <c r="P41" s="465">
        <f t="shared" si="3"/>
        <v>11.773289501325271</v>
      </c>
      <c r="Q41" s="440">
        <f t="shared" si="20"/>
        <v>10.908713039165182</v>
      </c>
      <c r="R41" s="440">
        <f t="shared" si="5"/>
        <v>12.637865963485361</v>
      </c>
      <c r="S41" s="466">
        <f t="shared" si="19"/>
        <v>6506.2256617100938</v>
      </c>
      <c r="T41" s="440">
        <f t="shared" si="7"/>
        <v>42330972.361094952</v>
      </c>
      <c r="U41" s="466">
        <f t="shared" si="8"/>
        <v>129740.23023138837</v>
      </c>
      <c r="V41" s="467">
        <f t="shared" si="9"/>
        <v>54650.467016876632</v>
      </c>
      <c r="W41" s="467">
        <f t="shared" si="10"/>
        <v>308003.35768943385</v>
      </c>
      <c r="X41" s="468">
        <f t="shared" si="11"/>
        <v>-4.7753357098807778E-2</v>
      </c>
      <c r="Y41" s="468">
        <f t="shared" si="12"/>
        <v>4.7753357098807778E-2</v>
      </c>
      <c r="Z41" s="471">
        <f t="shared" si="13"/>
        <v>10.574583142822014</v>
      </c>
      <c r="AA41" s="480">
        <f t="shared" si="14"/>
        <v>11.775165541037333</v>
      </c>
      <c r="AB41" s="473">
        <f t="shared" si="15"/>
        <v>11.822220700393405</v>
      </c>
      <c r="AC41" s="801">
        <f t="shared" si="16"/>
        <v>96</v>
      </c>
      <c r="AD41" s="435">
        <f t="shared" si="17"/>
        <v>10.910589078877244</v>
      </c>
      <c r="AE41" s="441">
        <f t="shared" si="18"/>
        <v>12.639742003197423</v>
      </c>
      <c r="AH41" t="s">
        <v>182</v>
      </c>
      <c r="AI41" s="510">
        <f t="shared" ref="AI41:AI46" si="21">X64</f>
        <v>0.28829701384711243</v>
      </c>
    </row>
    <row r="42" spans="1:35">
      <c r="A42" s="134">
        <v>1991</v>
      </c>
      <c r="B42" s="440">
        <f t="shared" si="0"/>
        <v>1997</v>
      </c>
      <c r="C42" s="458">
        <f>VLOOKUP($A42,'Brd Tbl'!$A$8:$AX$64,28)</f>
        <v>10.887887975016772</v>
      </c>
      <c r="D42" s="458">
        <f>VLOOKUP($A42,'Brd Tbl'!$A$8:$AX$64,34)</f>
        <v>12.511092697732716</v>
      </c>
      <c r="E42" s="7">
        <v>46</v>
      </c>
      <c r="F42" s="7">
        <v>44</v>
      </c>
      <c r="G42" s="576">
        <v>6.4596819573855031</v>
      </c>
      <c r="H42" s="576">
        <v>0.49996408674291221</v>
      </c>
      <c r="I42" s="577">
        <v>0.13995220139273903</v>
      </c>
      <c r="J42" s="7">
        <v>11.9032349253739</v>
      </c>
      <c r="K42" s="7">
        <v>0.6478874762021799</v>
      </c>
      <c r="L42" s="7">
        <v>0.22483327867391209</v>
      </c>
      <c r="M42" s="576">
        <v>0.43245462860932443</v>
      </c>
      <c r="N42" s="440">
        <f t="shared" si="1"/>
        <v>0.60785777235881611</v>
      </c>
      <c r="O42" s="440">
        <f t="shared" si="2"/>
        <v>0.36949107141702231</v>
      </c>
      <c r="P42" s="465">
        <f t="shared" si="3"/>
        <v>11.9032349253739</v>
      </c>
      <c r="Q42" s="440">
        <f t="shared" si="20"/>
        <v>11.03865846321381</v>
      </c>
      <c r="R42" s="440">
        <f t="shared" si="5"/>
        <v>12.767811387533989</v>
      </c>
      <c r="S42" s="466">
        <f t="shared" si="19"/>
        <v>123586.64815118976</v>
      </c>
      <c r="T42" s="440">
        <f t="shared" si="7"/>
        <v>15273659601.245975</v>
      </c>
      <c r="U42" s="466">
        <f t="shared" si="8"/>
        <v>147743.79316847082</v>
      </c>
      <c r="V42" s="467">
        <f t="shared" si="9"/>
        <v>62234.106422514509</v>
      </c>
      <c r="W42" s="467">
        <f t="shared" si="10"/>
        <v>350743.82319581375</v>
      </c>
      <c r="X42" s="468">
        <f t="shared" si="11"/>
        <v>-0.45548390202774747</v>
      </c>
      <c r="Y42" s="468">
        <f t="shared" si="12"/>
        <v>0.45548390202774747</v>
      </c>
      <c r="Z42" s="471">
        <f t="shared" si="13"/>
        <v>10.887887975016772</v>
      </c>
      <c r="AA42" s="480">
        <f t="shared" si="14"/>
        <v>11.939746829250474</v>
      </c>
      <c r="AB42" s="473">
        <f t="shared" si="15"/>
        <v>12.511092697732716</v>
      </c>
      <c r="AC42" s="801">
        <f t="shared" si="16"/>
        <v>97</v>
      </c>
      <c r="AD42" s="435">
        <f t="shared" si="17"/>
        <v>11.075170367090385</v>
      </c>
      <c r="AE42" s="441">
        <f t="shared" si="18"/>
        <v>12.804323291410563</v>
      </c>
      <c r="AH42" t="s">
        <v>182</v>
      </c>
      <c r="AI42" s="510">
        <f t="shared" si="21"/>
        <v>0</v>
      </c>
    </row>
    <row r="43" spans="1:35">
      <c r="A43" s="134">
        <v>1992</v>
      </c>
      <c r="B43" s="440">
        <f t="shared" si="0"/>
        <v>1998</v>
      </c>
      <c r="C43" s="458">
        <f>VLOOKUP($A43,'Brd Tbl'!$A$8:$AX$64,28)</f>
        <v>10.198544960378467</v>
      </c>
      <c r="D43" s="458">
        <f>VLOOKUP($A43,'Brd Tbl'!$A$8:$AX$64,34)</f>
        <v>11.253294061849042</v>
      </c>
      <c r="E43" s="7">
        <v>46</v>
      </c>
      <c r="F43" s="7">
        <v>44</v>
      </c>
      <c r="G43" s="576">
        <v>6.1915927428972219</v>
      </c>
      <c r="H43" s="576">
        <v>0.52889622230330791</v>
      </c>
      <c r="I43" s="577">
        <v>0.13822124698766122</v>
      </c>
      <c r="J43" s="7">
        <v>11.585564645431832</v>
      </c>
      <c r="K43" s="7">
        <v>0.65207517945276638</v>
      </c>
      <c r="L43" s="7">
        <v>0.24968060708295775</v>
      </c>
      <c r="M43" s="576">
        <v>0.43808696188546742</v>
      </c>
      <c r="N43" s="440">
        <f t="shared" si="1"/>
        <v>-0.33227058358279038</v>
      </c>
      <c r="O43" s="440">
        <f t="shared" si="2"/>
        <v>0.11040374071444808</v>
      </c>
      <c r="P43" s="465">
        <f t="shared" si="3"/>
        <v>11.585564645431832</v>
      </c>
      <c r="Q43" s="440">
        <f t="shared" si="20"/>
        <v>10.720988183271743</v>
      </c>
      <c r="R43" s="440">
        <f t="shared" si="5"/>
        <v>12.450141107591921</v>
      </c>
      <c r="S43" s="466">
        <f t="shared" si="19"/>
        <v>-30400.66169387121</v>
      </c>
      <c r="T43" s="440">
        <f t="shared" si="7"/>
        <v>924200231.42520833</v>
      </c>
      <c r="U43" s="466">
        <f t="shared" si="8"/>
        <v>107534.24623355907</v>
      </c>
      <c r="V43" s="467">
        <f t="shared" si="9"/>
        <v>45296.642117026415</v>
      </c>
      <c r="W43" s="467">
        <f t="shared" si="10"/>
        <v>255286.34292900714</v>
      </c>
      <c r="X43" s="468">
        <f t="shared" si="11"/>
        <v>0.39413002617853232</v>
      </c>
      <c r="Y43" s="468">
        <f t="shared" si="12"/>
        <v>0.39413002617853232</v>
      </c>
      <c r="Z43" s="471">
        <f t="shared" si="13"/>
        <v>10.198544960378467</v>
      </c>
      <c r="AA43" s="480">
        <f t="shared" si="14"/>
        <v>11.577629971444154</v>
      </c>
      <c r="AB43" s="473">
        <f t="shared" si="15"/>
        <v>11.253294061849042</v>
      </c>
      <c r="AC43" s="801">
        <f t="shared" si="16"/>
        <v>98</v>
      </c>
      <c r="AD43" s="435">
        <f t="shared" si="17"/>
        <v>10.713053509284064</v>
      </c>
      <c r="AE43" s="441">
        <f t="shared" si="18"/>
        <v>12.442206433604243</v>
      </c>
      <c r="AH43" t="s">
        <v>182</v>
      </c>
      <c r="AI43" s="510">
        <f t="shared" si="21"/>
        <v>0</v>
      </c>
    </row>
    <row r="44" spans="1:35">
      <c r="A44" s="134">
        <v>1993</v>
      </c>
      <c r="B44" s="440">
        <f t="shared" si="0"/>
        <v>1999</v>
      </c>
      <c r="C44" s="458">
        <f>VLOOKUP($A44,'Brd Tbl'!$A$8:$AX$64,28)</f>
        <v>9.8528858812286817</v>
      </c>
      <c r="D44" s="458">
        <f>VLOOKUP($A44,'Brd Tbl'!$A$8:$AX$64,34)</f>
        <v>11.146441355660475</v>
      </c>
      <c r="E44" s="7">
        <v>46</v>
      </c>
      <c r="F44" s="7">
        <v>44</v>
      </c>
      <c r="G44" s="576">
        <v>6.2376019443713497</v>
      </c>
      <c r="H44" s="576">
        <v>0.52411091489111017</v>
      </c>
      <c r="I44" s="577">
        <v>0.13823442311379652</v>
      </c>
      <c r="J44" s="7">
        <v>11.401606977899817</v>
      </c>
      <c r="K44" s="7">
        <v>0.65284281793022436</v>
      </c>
      <c r="L44" s="7">
        <v>0.24625530346782731</v>
      </c>
      <c r="M44" s="576">
        <v>0.43907161940593825</v>
      </c>
      <c r="N44" s="440">
        <f t="shared" si="1"/>
        <v>-0.25516562223934258</v>
      </c>
      <c r="O44" s="440">
        <f t="shared" si="2"/>
        <v>6.5109494772790877E-2</v>
      </c>
      <c r="P44" s="465">
        <f t="shared" si="3"/>
        <v>11.401606977899817</v>
      </c>
      <c r="Q44" s="440">
        <f t="shared" si="20"/>
        <v>10.537030515739728</v>
      </c>
      <c r="R44" s="440">
        <f t="shared" si="5"/>
        <v>12.266183440059907</v>
      </c>
      <c r="S44" s="466">
        <f t="shared" si="19"/>
        <v>-20148.66165929554</v>
      </c>
      <c r="T44" s="440">
        <f t="shared" si="7"/>
        <v>405968566.66076607</v>
      </c>
      <c r="U44" s="466">
        <f t="shared" si="8"/>
        <v>89465.376789248374</v>
      </c>
      <c r="V44" s="467">
        <f t="shared" si="9"/>
        <v>37685.493656464721</v>
      </c>
      <c r="W44" s="467">
        <f t="shared" si="10"/>
        <v>212390.83974873539</v>
      </c>
      <c r="X44" s="468">
        <f t="shared" si="11"/>
        <v>0.29067536771645125</v>
      </c>
      <c r="Y44" s="468">
        <f t="shared" si="12"/>
        <v>0.29067536771645125</v>
      </c>
      <c r="Z44" s="471">
        <f t="shared" si="13"/>
        <v>9.8528858812286817</v>
      </c>
      <c r="AA44" s="480">
        <f t="shared" si="14"/>
        <v>11.396052763935028</v>
      </c>
      <c r="AB44" s="473">
        <f t="shared" si="15"/>
        <v>11.146441355660475</v>
      </c>
      <c r="AC44" s="801">
        <f t="shared" si="16"/>
        <v>99</v>
      </c>
      <c r="AD44" s="435">
        <f t="shared" si="17"/>
        <v>10.531476301774939</v>
      </c>
      <c r="AE44" s="441">
        <f t="shared" si="18"/>
        <v>12.260629226095118</v>
      </c>
      <c r="AH44" t="s">
        <v>182</v>
      </c>
      <c r="AI44" s="510">
        <f t="shared" si="21"/>
        <v>0</v>
      </c>
    </row>
    <row r="45" spans="1:35">
      <c r="A45" s="134">
        <v>1994</v>
      </c>
      <c r="B45" s="440">
        <f t="shared" si="0"/>
        <v>2000</v>
      </c>
      <c r="C45" s="458">
        <f>VLOOKUP($A45,'Brd Tbl'!$A$8:$AX$64,28)</f>
        <v>10.460287109250565</v>
      </c>
      <c r="D45" s="458">
        <f>VLOOKUP($A45,'Brd Tbl'!$A$8:$AX$64,34)</f>
        <v>11.401999710839833</v>
      </c>
      <c r="E45" s="7">
        <v>46</v>
      </c>
      <c r="F45" s="7">
        <v>44</v>
      </c>
      <c r="G45" s="576">
        <v>6.1545302053671911</v>
      </c>
      <c r="H45" s="576">
        <v>0.53259993362488978</v>
      </c>
      <c r="I45" s="577">
        <v>0.13886692395491054</v>
      </c>
      <c r="J45" s="7">
        <v>11.725678425451331</v>
      </c>
      <c r="K45" s="7">
        <v>0.65218696832135181</v>
      </c>
      <c r="L45" s="7">
        <v>0.25055007144925323</v>
      </c>
      <c r="M45" s="576">
        <v>0.43820947993811737</v>
      </c>
      <c r="N45" s="440">
        <f t="shared" si="1"/>
        <v>-0.32367871461149811</v>
      </c>
      <c r="O45" s="440">
        <f t="shared" si="2"/>
        <v>0.10476791029255164</v>
      </c>
      <c r="P45" s="465">
        <f t="shared" si="3"/>
        <v>11.725678425451331</v>
      </c>
      <c r="Q45" s="440">
        <f t="shared" si="20"/>
        <v>10.861101963291242</v>
      </c>
      <c r="R45" s="440">
        <f t="shared" si="5"/>
        <v>12.590254887611421</v>
      </c>
      <c r="S45" s="466">
        <f t="shared" si="19"/>
        <v>-34207.380918803567</v>
      </c>
      <c r="T45" s="440">
        <f t="shared" si="7"/>
        <v>1170144909.3241262</v>
      </c>
      <c r="U45" s="466">
        <f t="shared" si="8"/>
        <v>123707.90060894372</v>
      </c>
      <c r="V45" s="467">
        <f t="shared" si="9"/>
        <v>52109.46928257031</v>
      </c>
      <c r="W45" s="467">
        <f t="shared" si="10"/>
        <v>293682.60478889768</v>
      </c>
      <c r="X45" s="468">
        <f t="shared" si="11"/>
        <v>0.38220315409600947</v>
      </c>
      <c r="Y45" s="468">
        <f t="shared" si="12"/>
        <v>0.38220315409600947</v>
      </c>
      <c r="Z45" s="471">
        <f t="shared" si="13"/>
        <v>10.460287109250565</v>
      </c>
      <c r="AA45" s="480">
        <f t="shared" si="14"/>
        <v>11.715125010187339</v>
      </c>
      <c r="AB45" s="473">
        <f t="shared" si="15"/>
        <v>11.401999710839833</v>
      </c>
      <c r="AC45" s="976" t="s">
        <v>315</v>
      </c>
      <c r="AD45" s="435">
        <f t="shared" si="17"/>
        <v>10.85054854802725</v>
      </c>
      <c r="AE45" s="441">
        <f t="shared" si="18"/>
        <v>12.579701472347429</v>
      </c>
      <c r="AH45" t="s">
        <v>182</v>
      </c>
      <c r="AI45" s="510">
        <f t="shared" si="21"/>
        <v>0</v>
      </c>
    </row>
    <row r="46" spans="1:35">
      <c r="A46" s="134">
        <v>1995</v>
      </c>
      <c r="B46" s="440">
        <f t="shared" si="0"/>
        <v>2001</v>
      </c>
      <c r="C46" s="458">
        <f>VLOOKUP($A46,'Brd Tbl'!$A$8:$AX$64,28)</f>
        <v>9.1049258695616349</v>
      </c>
      <c r="D46" s="458">
        <f>VLOOKUP($A46,'Brd Tbl'!$A$8:$AX$64,34)</f>
        <v>11.000829021215486</v>
      </c>
      <c r="E46" s="7">
        <v>46</v>
      </c>
      <c r="F46" s="7">
        <v>44</v>
      </c>
      <c r="G46" s="576">
        <v>6.2212436208608581</v>
      </c>
      <c r="H46" s="576">
        <v>0.52521373362466317</v>
      </c>
      <c r="I46" s="577">
        <v>0.14079707809392064</v>
      </c>
      <c r="J46" s="7">
        <v>11.003275731189106</v>
      </c>
      <c r="K46" s="7">
        <v>0.6539504318667948</v>
      </c>
      <c r="L46" s="7">
        <v>0.24026660152269316</v>
      </c>
      <c r="M46" s="576">
        <v>0.44048691306644033</v>
      </c>
      <c r="N46" s="440">
        <f t="shared" si="1"/>
        <v>-2.4467099736202869E-3</v>
      </c>
      <c r="O46" s="440">
        <f t="shared" si="2"/>
        <v>5.9863896950129846E-6</v>
      </c>
      <c r="P46" s="465">
        <f t="shared" si="3"/>
        <v>11.003275731189106</v>
      </c>
      <c r="Q46" s="440">
        <f t="shared" si="20"/>
        <v>10.138699269029017</v>
      </c>
      <c r="R46" s="440">
        <f t="shared" si="5"/>
        <v>11.867852193349195</v>
      </c>
      <c r="S46" s="466">
        <f t="shared" si="19"/>
        <v>-146.79566721262381</v>
      </c>
      <c r="T46" s="440">
        <f t="shared" si="7"/>
        <v>21548.967912399399</v>
      </c>
      <c r="U46" s="466">
        <f t="shared" si="8"/>
        <v>60070.594896873808</v>
      </c>
      <c r="V46" s="467">
        <f t="shared" si="9"/>
        <v>25303.53198264576</v>
      </c>
      <c r="W46" s="467">
        <f t="shared" si="10"/>
        <v>142607.61595413511</v>
      </c>
      <c r="X46" s="468">
        <f t="shared" si="11"/>
        <v>2.4497056111215765E-3</v>
      </c>
      <c r="Y46" s="468">
        <f t="shared" si="12"/>
        <v>2.4497056111215765E-3</v>
      </c>
      <c r="Z46" s="471">
        <f t="shared" si="13"/>
        <v>9.1049258695616349</v>
      </c>
      <c r="AA46" s="480">
        <f t="shared" si="14"/>
        <v>11.003143974786333</v>
      </c>
      <c r="AB46" s="473">
        <f t="shared" si="15"/>
        <v>11.000829021215486</v>
      </c>
      <c r="AC46" s="976" t="s">
        <v>316</v>
      </c>
      <c r="AD46" s="435">
        <f t="shared" si="17"/>
        <v>10.138567512626244</v>
      </c>
      <c r="AE46" s="441">
        <f t="shared" si="18"/>
        <v>11.867720436946422</v>
      </c>
      <c r="AH46" t="s">
        <v>182</v>
      </c>
      <c r="AI46" s="510">
        <f t="shared" si="21"/>
        <v>0</v>
      </c>
    </row>
    <row r="47" spans="1:35">
      <c r="A47" s="134">
        <v>1996</v>
      </c>
      <c r="B47" s="440">
        <f t="shared" si="0"/>
        <v>2002</v>
      </c>
      <c r="C47" s="458">
        <f>VLOOKUP($A47,'Brd Tbl'!$A$8:$AX$64,28)</f>
        <v>8.933054979268606</v>
      </c>
      <c r="D47" s="458">
        <f>VLOOKUP($A47,'Brd Tbl'!$A$8:$AX$64,34)</f>
        <v>11.14150094542507</v>
      </c>
      <c r="E47" s="7">
        <v>46</v>
      </c>
      <c r="F47" s="7">
        <v>44</v>
      </c>
      <c r="G47" s="576">
        <v>6.1028574075653719</v>
      </c>
      <c r="H47" s="576">
        <v>0.53657328106893232</v>
      </c>
      <c r="I47" s="577">
        <v>0.14167354321146583</v>
      </c>
      <c r="J47" s="7">
        <v>10.896096027760692</v>
      </c>
      <c r="K47" s="7">
        <v>0.65297478648312335</v>
      </c>
      <c r="L47" s="7">
        <v>0.24585658354206191</v>
      </c>
      <c r="M47" s="576">
        <v>0.43917783508330627</v>
      </c>
      <c r="N47" s="440">
        <f t="shared" si="1"/>
        <v>0.24540491766437889</v>
      </c>
      <c r="O47" s="440">
        <f t="shared" si="2"/>
        <v>6.0223573613860583E-2</v>
      </c>
      <c r="P47" s="465">
        <f t="shared" si="3"/>
        <v>10.896096027760692</v>
      </c>
      <c r="Q47" s="440">
        <f t="shared" si="20"/>
        <v>10.031519565600602</v>
      </c>
      <c r="R47" s="440">
        <f t="shared" si="5"/>
        <v>11.760672489920781</v>
      </c>
      <c r="S47" s="466">
        <f t="shared" si="19"/>
        <v>15009.833568214584</v>
      </c>
      <c r="T47" s="440">
        <f t="shared" si="7"/>
        <v>225295103.74550137</v>
      </c>
      <c r="U47" s="466">
        <f t="shared" si="8"/>
        <v>53965.273090640665</v>
      </c>
      <c r="V47" s="467">
        <f t="shared" si="9"/>
        <v>22731.787756480211</v>
      </c>
      <c r="W47" s="467">
        <f t="shared" si="10"/>
        <v>128113.57958052475</v>
      </c>
      <c r="X47" s="468">
        <f t="shared" si="11"/>
        <v>-0.21761232849485668</v>
      </c>
      <c r="Y47" s="468">
        <f t="shared" si="12"/>
        <v>0.21761232849485668</v>
      </c>
      <c r="Z47" s="471">
        <f t="shared" si="13"/>
        <v>8.933054979268606</v>
      </c>
      <c r="AA47" s="480">
        <f t="shared" si="14"/>
        <v>10.912858956414251</v>
      </c>
      <c r="AB47" s="473">
        <f t="shared" si="15"/>
        <v>11.14150094542507</v>
      </c>
      <c r="AC47" s="976" t="s">
        <v>324</v>
      </c>
      <c r="AD47" s="435">
        <f t="shared" si="17"/>
        <v>10.048282494254162</v>
      </c>
      <c r="AE47" s="441">
        <f t="shared" si="18"/>
        <v>11.77743541857434</v>
      </c>
      <c r="AH47" t="s">
        <v>182</v>
      </c>
      <c r="AI47" s="510">
        <f t="shared" ref="AI47:AI52" si="22">X70</f>
        <v>0</v>
      </c>
    </row>
    <row r="48" spans="1:35">
      <c r="A48" s="134">
        <v>1997</v>
      </c>
      <c r="B48" s="440">
        <f t="shared" si="0"/>
        <v>2003</v>
      </c>
      <c r="C48" s="458">
        <f>VLOOKUP($A48,'Brd Tbl'!$A$8:$AX$64,28)</f>
        <v>9.3153891456982763</v>
      </c>
      <c r="D48" s="458">
        <f>VLOOKUP($A48,'Brd Tbl'!$A$8:$AX$64,34)</f>
        <v>10.654471468435247</v>
      </c>
      <c r="E48" s="7">
        <v>46</v>
      </c>
      <c r="F48" s="7">
        <v>44</v>
      </c>
      <c r="G48" s="576">
        <v>6.3674645501034179</v>
      </c>
      <c r="H48" s="576">
        <v>0.51154589279054608</v>
      </c>
      <c r="I48" s="577">
        <v>0.13894176822924273</v>
      </c>
      <c r="J48" s="7">
        <v>11.132713607331006</v>
      </c>
      <c r="K48" s="7">
        <v>0.6501229552612543</v>
      </c>
      <c r="L48" s="7">
        <v>0.23551553079520107</v>
      </c>
      <c r="M48" s="576">
        <v>0.43551496617457308</v>
      </c>
      <c r="N48" s="440">
        <f t="shared" si="1"/>
        <v>-0.47824213889575873</v>
      </c>
      <c r="O48" s="440">
        <f t="shared" si="2"/>
        <v>0.22871554341559019</v>
      </c>
      <c r="P48" s="465">
        <f t="shared" si="3"/>
        <v>11.132713607331006</v>
      </c>
      <c r="Q48" s="440">
        <f t="shared" si="20"/>
        <v>10.268137145170916</v>
      </c>
      <c r="R48" s="440">
        <f t="shared" si="5"/>
        <v>11.997290069491095</v>
      </c>
      <c r="S48" s="466">
        <f t="shared" si="19"/>
        <v>-25989.974496517869</v>
      </c>
      <c r="T48" s="440">
        <f t="shared" si="7"/>
        <v>675478774.32964921</v>
      </c>
      <c r="U48" s="466">
        <f t="shared" si="8"/>
        <v>68371.654329466211</v>
      </c>
      <c r="V48" s="467">
        <f t="shared" si="9"/>
        <v>28800.186597154607</v>
      </c>
      <c r="W48" s="467">
        <f t="shared" si="10"/>
        <v>162314.33431788476</v>
      </c>
      <c r="X48" s="468">
        <f t="shared" si="11"/>
        <v>0.61323606329338454</v>
      </c>
      <c r="Y48" s="468">
        <f t="shared" si="12"/>
        <v>0.61323606329338454</v>
      </c>
      <c r="Z48" s="471">
        <f t="shared" si="13"/>
        <v>9.3153891456982763</v>
      </c>
      <c r="AA48" s="480">
        <f t="shared" si="14"/>
        <v>11.113701851808141</v>
      </c>
      <c r="AB48" s="473">
        <f t="shared" si="15"/>
        <v>10.654471468435247</v>
      </c>
      <c r="AC48" s="976" t="s">
        <v>349</v>
      </c>
      <c r="AD48" s="435">
        <f t="shared" si="17"/>
        <v>10.249125389648052</v>
      </c>
      <c r="AE48" s="441">
        <f t="shared" si="18"/>
        <v>11.978278313968231</v>
      </c>
      <c r="AH48" t="s">
        <v>182</v>
      </c>
      <c r="AI48" s="510">
        <f t="shared" si="22"/>
        <v>0</v>
      </c>
    </row>
    <row r="49" spans="1:35">
      <c r="A49" s="134">
        <v>1998</v>
      </c>
      <c r="B49" s="440">
        <f t="shared" si="0"/>
        <v>2004</v>
      </c>
      <c r="C49" s="458">
        <f>VLOOKUP($A49,'Brd Tbl'!$A$8:$AX$64,28)</f>
        <v>9.4965134534434341</v>
      </c>
      <c r="D49" s="458">
        <f>VLOOKUP($A49,'Brd Tbl'!$A$8:$AX$64,34)</f>
        <v>11.220704201581443</v>
      </c>
      <c r="E49" s="7">
        <v>46</v>
      </c>
      <c r="F49" s="7">
        <v>44</v>
      </c>
      <c r="G49" s="576">
        <v>6.217484035216077</v>
      </c>
      <c r="H49" s="576">
        <v>0.52555992936753759</v>
      </c>
      <c r="I49" s="577">
        <v>0.13911219504624561</v>
      </c>
      <c r="J49" s="7">
        <v>11.208470975045678</v>
      </c>
      <c r="K49" s="7">
        <v>0.65394800989407709</v>
      </c>
      <c r="L49" s="7">
        <v>0.24493282796750981</v>
      </c>
      <c r="M49" s="576">
        <v>0.44048378990466242</v>
      </c>
      <c r="N49" s="440">
        <f t="shared" si="1"/>
        <v>1.223322653576453E-2</v>
      </c>
      <c r="O49" s="440">
        <f t="shared" si="2"/>
        <v>1.4965183147533343E-4</v>
      </c>
      <c r="P49" s="465">
        <f t="shared" si="3"/>
        <v>11.208470975045678</v>
      </c>
      <c r="Q49" s="440">
        <f t="shared" si="20"/>
        <v>10.343894512885589</v>
      </c>
      <c r="R49" s="440">
        <f t="shared" si="5"/>
        <v>12.073047437205767</v>
      </c>
      <c r="S49" s="466">
        <f t="shared" si="19"/>
        <v>907.77293988579186</v>
      </c>
      <c r="T49" s="440">
        <f t="shared" si="7"/>
        <v>824051.71038889349</v>
      </c>
      <c r="U49" s="466">
        <f t="shared" si="8"/>
        <v>73752.55923161986</v>
      </c>
      <c r="V49" s="467">
        <f t="shared" si="9"/>
        <v>31066.784747563568</v>
      </c>
      <c r="W49" s="467">
        <f t="shared" si="10"/>
        <v>175088.60467577638</v>
      </c>
      <c r="X49" s="468">
        <f t="shared" si="11"/>
        <v>-1.2158704809945197E-2</v>
      </c>
      <c r="Y49" s="468">
        <f t="shared" si="12"/>
        <v>1.2158704809945197E-2</v>
      </c>
      <c r="Z49" s="471">
        <f t="shared" si="13"/>
        <v>9.4965134534434341</v>
      </c>
      <c r="AA49" s="480">
        <f t="shared" si="14"/>
        <v>11.208847757112535</v>
      </c>
      <c r="AB49" s="473">
        <f t="shared" si="15"/>
        <v>11.220704201581443</v>
      </c>
      <c r="AC49" s="976" t="s">
        <v>350</v>
      </c>
      <c r="AD49" s="435">
        <f t="shared" si="17"/>
        <v>10.344271294952446</v>
      </c>
      <c r="AE49" s="441">
        <f t="shared" si="18"/>
        <v>12.073424219272624</v>
      </c>
      <c r="AH49" t="s">
        <v>182</v>
      </c>
      <c r="AI49" s="510">
        <f t="shared" si="22"/>
        <v>0</v>
      </c>
    </row>
    <row r="50" spans="1:35">
      <c r="A50" s="134">
        <v>1999</v>
      </c>
      <c r="B50" s="440">
        <f t="shared" si="0"/>
        <v>2005</v>
      </c>
      <c r="C50" s="458">
        <f>VLOOKUP($A50,'Brd Tbl'!$A$8:$AX$64,28)</f>
        <v>11.181371948983598</v>
      </c>
      <c r="D50" s="458">
        <f>VLOOKUP($A50,'Brd Tbl'!$A$8:$AX$64,34)</f>
        <v>12.063667836941788</v>
      </c>
      <c r="E50" s="7">
        <v>46</v>
      </c>
      <c r="F50" s="7">
        <v>44</v>
      </c>
      <c r="G50" s="576">
        <v>6.2028459608311151</v>
      </c>
      <c r="H50" s="576">
        <v>0.52712702276764334</v>
      </c>
      <c r="I50" s="577">
        <v>0.14343644363171321</v>
      </c>
      <c r="J50" s="7">
        <v>12.096849266756481</v>
      </c>
      <c r="K50" s="7">
        <v>0.65393308920730242</v>
      </c>
      <c r="L50" s="7">
        <v>0.2348561590006433</v>
      </c>
      <c r="M50" s="576">
        <v>0.44046310826437823</v>
      </c>
      <c r="N50" s="440">
        <f t="shared" si="1"/>
        <v>-3.3181429814693075E-2</v>
      </c>
      <c r="O50" s="440">
        <f t="shared" si="2"/>
        <v>1.1010072845474026E-3</v>
      </c>
      <c r="P50" s="465">
        <f t="shared" si="3"/>
        <v>12.096849266756481</v>
      </c>
      <c r="Q50" s="440">
        <f t="shared" si="20"/>
        <v>11.232272804596391</v>
      </c>
      <c r="R50" s="440">
        <f t="shared" si="5"/>
        <v>12.96142572891657</v>
      </c>
      <c r="S50" s="466">
        <f t="shared" si="19"/>
        <v>-5852.0044598723471</v>
      </c>
      <c r="T50" s="440">
        <f t="shared" si="7"/>
        <v>34245956.198365837</v>
      </c>
      <c r="U50" s="466">
        <f t="shared" si="8"/>
        <v>179306.02586562742</v>
      </c>
      <c r="V50" s="467">
        <f t="shared" si="9"/>
        <v>75529.063229039704</v>
      </c>
      <c r="W50" s="467">
        <f t="shared" si="10"/>
        <v>425672.57605498342</v>
      </c>
      <c r="X50" s="468">
        <f t="shared" si="11"/>
        <v>3.3738073135721386E-2</v>
      </c>
      <c r="Y50" s="468">
        <f t="shared" si="12"/>
        <v>3.3738073135721386E-2</v>
      </c>
      <c r="Z50" s="471">
        <f t="shared" si="13"/>
        <v>11.181371948983598</v>
      </c>
      <c r="AA50" s="480">
        <f t="shared" si="14"/>
        <v>12.093916077669043</v>
      </c>
      <c r="AB50" s="473">
        <f t="shared" si="15"/>
        <v>12.063667836941788</v>
      </c>
      <c r="AC50" s="976" t="s">
        <v>351</v>
      </c>
      <c r="AD50" s="435">
        <f t="shared" si="17"/>
        <v>11.229339615508954</v>
      </c>
      <c r="AE50" s="441">
        <f t="shared" si="18"/>
        <v>12.958492539829132</v>
      </c>
      <c r="AH50" t="s">
        <v>182</v>
      </c>
      <c r="AI50" s="510">
        <f t="shared" si="22"/>
        <v>0</v>
      </c>
    </row>
    <row r="51" spans="1:35">
      <c r="A51" s="134">
        <v>2000</v>
      </c>
      <c r="B51" s="440">
        <f t="shared" si="0"/>
        <v>2006</v>
      </c>
      <c r="C51" s="458">
        <f>VLOOKUP($A51,'Brd Tbl'!$A$8:$AX$64,28)</f>
        <v>10.787155626946394</v>
      </c>
      <c r="D51" s="458">
        <f>VLOOKUP($A51,'Brd Tbl'!$A$8:$AX$64,34)</f>
        <v>12.204299814724289</v>
      </c>
      <c r="E51" s="7">
        <v>46</v>
      </c>
      <c r="F51" s="7">
        <v>44</v>
      </c>
      <c r="G51" s="576">
        <v>6.3371256641426079</v>
      </c>
      <c r="H51" s="576">
        <v>0.51285520158027242</v>
      </c>
      <c r="I51" s="577">
        <v>0.14027064068841136</v>
      </c>
      <c r="J51" s="7">
        <v>11.86937453767797</v>
      </c>
      <c r="K51" s="7">
        <v>0.6521002577380155</v>
      </c>
      <c r="L51" s="7">
        <v>0.23301758558289146</v>
      </c>
      <c r="M51" s="576">
        <v>0.43804845752698679</v>
      </c>
      <c r="N51" s="440">
        <f t="shared" si="1"/>
        <v>0.33492527704631847</v>
      </c>
      <c r="O51" s="440">
        <f t="shared" si="2"/>
        <v>0.11217494120455318</v>
      </c>
      <c r="P51" s="465">
        <f t="shared" si="3"/>
        <v>11.86937453767797</v>
      </c>
      <c r="Q51" s="440">
        <f t="shared" si="20"/>
        <v>11.004798075517881</v>
      </c>
      <c r="R51" s="440">
        <f t="shared" si="5"/>
        <v>12.73395099983806</v>
      </c>
      <c r="S51" s="466">
        <f t="shared" si="19"/>
        <v>56820.868763797451</v>
      </c>
      <c r="T51" s="440">
        <f t="shared" si="7"/>
        <v>3228611127.0726929</v>
      </c>
      <c r="U51" s="466">
        <f t="shared" si="8"/>
        <v>142824.87918228508</v>
      </c>
      <c r="V51" s="467">
        <f t="shared" si="9"/>
        <v>60162.112669447612</v>
      </c>
      <c r="W51" s="467">
        <f t="shared" si="10"/>
        <v>339066.31945446308</v>
      </c>
      <c r="X51" s="468">
        <f t="shared" si="11"/>
        <v>-0.28460845947564495</v>
      </c>
      <c r="Y51" s="468">
        <f t="shared" si="12"/>
        <v>0.28460845947564495</v>
      </c>
      <c r="Z51" s="471">
        <f t="shared" si="13"/>
        <v>10.787155626946394</v>
      </c>
      <c r="AA51" s="480">
        <f t="shared" si="14"/>
        <v>11.886831400228774</v>
      </c>
      <c r="AB51" s="473">
        <f t="shared" si="15"/>
        <v>12.204299814724289</v>
      </c>
      <c r="AC51" s="976" t="s">
        <v>361</v>
      </c>
      <c r="AD51" s="435">
        <f t="shared" si="17"/>
        <v>11.022254938068684</v>
      </c>
      <c r="AE51" s="441">
        <f t="shared" si="18"/>
        <v>12.751407862388863</v>
      </c>
      <c r="AH51" t="s">
        <v>182</v>
      </c>
      <c r="AI51" s="510">
        <f t="shared" si="22"/>
        <v>0</v>
      </c>
    </row>
    <row r="52" spans="1:35">
      <c r="A52" s="134">
        <v>2001</v>
      </c>
      <c r="B52" s="440">
        <f t="shared" si="0"/>
        <v>2007</v>
      </c>
      <c r="C52" s="458">
        <f>VLOOKUP($A52,'Brd Tbl'!$A$8:$AX$64,28)</f>
        <v>10.971602358695069</v>
      </c>
      <c r="D52" s="458">
        <f>VLOOKUP($A52,'Brd Tbl'!$A$8:$AX$64,34)</f>
        <v>12.576248535357729</v>
      </c>
      <c r="E52" s="7">
        <v>46</v>
      </c>
      <c r="F52" s="7">
        <v>44</v>
      </c>
      <c r="G52" s="576">
        <v>6.4942318730251385</v>
      </c>
      <c r="H52" s="576">
        <v>0.49643566754548146</v>
      </c>
      <c r="I52" s="577">
        <v>0.14038754049291369</v>
      </c>
      <c r="J52" s="7">
        <v>11.940926614007504</v>
      </c>
      <c r="K52" s="7">
        <v>0.64737603780883768</v>
      </c>
      <c r="L52" s="7">
        <v>0.22130194703688055</v>
      </c>
      <c r="M52" s="576">
        <v>0.43171239225430014</v>
      </c>
      <c r="N52" s="440">
        <f t="shared" si="1"/>
        <v>0.63532192135022569</v>
      </c>
      <c r="O52" s="440">
        <f t="shared" si="2"/>
        <v>0.40363394374814238</v>
      </c>
      <c r="P52" s="465">
        <f t="shared" si="3"/>
        <v>11.940926614007504</v>
      </c>
      <c r="Q52" s="440">
        <f t="shared" si="20"/>
        <v>11.076350151847414</v>
      </c>
      <c r="R52" s="440">
        <f t="shared" si="5"/>
        <v>12.805503076167593</v>
      </c>
      <c r="S52" s="466">
        <f t="shared" si="19"/>
        <v>136179.07138960282</v>
      </c>
      <c r="T52" s="440">
        <f t="shared" si="7"/>
        <v>18544739484.534542</v>
      </c>
      <c r="U52" s="466">
        <f t="shared" si="8"/>
        <v>153418.78438055867</v>
      </c>
      <c r="V52" s="467">
        <f t="shared" si="9"/>
        <v>64624.582526219143</v>
      </c>
      <c r="W52" s="467">
        <f t="shared" si="10"/>
        <v>364216.25456936471</v>
      </c>
      <c r="X52" s="468">
        <f t="shared" si="11"/>
        <v>-0.47023508177381307</v>
      </c>
      <c r="Y52" s="468">
        <f t="shared" si="12"/>
        <v>0.47023508177381307</v>
      </c>
      <c r="Z52" s="471">
        <f t="shared" si="13"/>
        <v>10.971602358695069</v>
      </c>
      <c r="AA52" s="480">
        <f t="shared" si="14"/>
        <v>11.983722598826789</v>
      </c>
      <c r="AB52" s="473">
        <f t="shared" si="15"/>
        <v>12.576248535357729</v>
      </c>
      <c r="AC52" s="976" t="s">
        <v>362</v>
      </c>
      <c r="AD52" s="435">
        <f t="shared" si="17"/>
        <v>11.1191461366667</v>
      </c>
      <c r="AE52" s="441">
        <f t="shared" si="18"/>
        <v>12.848299060986879</v>
      </c>
      <c r="AH52" t="s">
        <v>182</v>
      </c>
      <c r="AI52" s="510">
        <f t="shared" si="22"/>
        <v>0</v>
      </c>
    </row>
    <row r="53" spans="1:35">
      <c r="A53" s="134">
        <v>2002</v>
      </c>
      <c r="B53" s="440">
        <f t="shared" si="0"/>
        <v>2008</v>
      </c>
      <c r="C53" s="458">
        <f>VLOOKUP($A53,'Brd Tbl'!$A$8:$AX$64,28)</f>
        <v>9.640021832322569</v>
      </c>
      <c r="D53" s="458">
        <f>VLOOKUP($A53,'Brd Tbl'!$A$8:$AX$64,34)</f>
        <v>11.639129281017061</v>
      </c>
      <c r="E53" s="7">
        <v>46</v>
      </c>
      <c r="F53" s="7">
        <v>44</v>
      </c>
      <c r="G53" s="576">
        <v>6.1609013559968835</v>
      </c>
      <c r="H53" s="576">
        <v>0.53049008591157587</v>
      </c>
      <c r="I53" s="577">
        <v>0.1382773269991622</v>
      </c>
      <c r="J53" s="7">
        <v>11.27483736601515</v>
      </c>
      <c r="K53" s="7">
        <v>0.6517000748391677</v>
      </c>
      <c r="L53" s="7">
        <v>0.25065731711478267</v>
      </c>
      <c r="M53" s="576">
        <v>0.43760207365456932</v>
      </c>
      <c r="N53" s="440">
        <f t="shared" si="1"/>
        <v>0.36429191500191038</v>
      </c>
      <c r="O53" s="440">
        <f t="shared" si="2"/>
        <v>0.1327085993357591</v>
      </c>
      <c r="P53" s="465">
        <f t="shared" si="3"/>
        <v>11.27483736601515</v>
      </c>
      <c r="Q53" s="440">
        <f t="shared" si="20"/>
        <v>10.410260903855061</v>
      </c>
      <c r="R53" s="440">
        <f t="shared" si="5"/>
        <v>12.13941382817524</v>
      </c>
      <c r="S53" s="466">
        <f t="shared" si="19"/>
        <v>34638.012243276055</v>
      </c>
      <c r="T53" s="440">
        <f t="shared" si="7"/>
        <v>1199791892.1653419</v>
      </c>
      <c r="U53" s="466">
        <f t="shared" si="8"/>
        <v>78813.3254318994</v>
      </c>
      <c r="V53" s="467">
        <f t="shared" si="9"/>
        <v>33198.530897660872</v>
      </c>
      <c r="W53" s="467">
        <f t="shared" si="10"/>
        <v>187102.86562927809</v>
      </c>
      <c r="X53" s="468">
        <f t="shared" si="11"/>
        <v>-0.30531162481705387</v>
      </c>
      <c r="Y53" s="468">
        <f t="shared" si="12"/>
        <v>0.30531162481705387</v>
      </c>
      <c r="Z53" s="471">
        <f t="shared" si="13"/>
        <v>9.640021832322569</v>
      </c>
      <c r="AA53" s="480">
        <f t="shared" si="14"/>
        <v>11.284233743660694</v>
      </c>
      <c r="AB53" s="473">
        <f t="shared" si="15"/>
        <v>11.639129281017061</v>
      </c>
      <c r="AC53" s="976" t="s">
        <v>363</v>
      </c>
      <c r="AD53" s="435">
        <f t="shared" si="17"/>
        <v>10.419657281500605</v>
      </c>
      <c r="AE53" s="441">
        <f t="shared" si="18"/>
        <v>12.148810205820784</v>
      </c>
      <c r="AH53" t="s">
        <v>182</v>
      </c>
      <c r="AI53" s="510">
        <f t="shared" ref="AI53:AI58" si="23">X76</f>
        <v>0</v>
      </c>
    </row>
    <row r="54" spans="1:35">
      <c r="A54" s="134">
        <v>2003</v>
      </c>
      <c r="B54" s="440">
        <f t="shared" si="0"/>
        <v>2009</v>
      </c>
      <c r="C54" s="458">
        <f>VLOOKUP($A54,'Brd Tbl'!$A$8:$AX$64,28)</f>
        <v>9.6421994068747559</v>
      </c>
      <c r="D54" s="458">
        <f>VLOOKUP($A54,'Brd Tbl'!$A$8:$AX$64,34)</f>
        <v>12.304166427631953</v>
      </c>
      <c r="E54" s="7">
        <v>46</v>
      </c>
      <c r="F54" s="7">
        <v>44</v>
      </c>
      <c r="G54" s="576">
        <v>6.0508862744431013</v>
      </c>
      <c r="H54" s="576">
        <v>0.54008255841994723</v>
      </c>
      <c r="I54" s="577">
        <v>0.13476538211057695</v>
      </c>
      <c r="J54" s="7">
        <v>11.258469998903317</v>
      </c>
      <c r="K54" s="7">
        <v>0.63516843201621243</v>
      </c>
      <c r="L54" s="7">
        <v>0.26740741810074847</v>
      </c>
      <c r="M54" s="576">
        <v>0.41671571666065493</v>
      </c>
      <c r="N54" s="440">
        <f t="shared" si="1"/>
        <v>1.0456964287286361</v>
      </c>
      <c r="O54" s="440">
        <f t="shared" si="2"/>
        <v>1.0934810210558235</v>
      </c>
      <c r="P54" s="465">
        <f t="shared" si="3"/>
        <v>11.258469998903317</v>
      </c>
      <c r="Q54" s="440">
        <f t="shared" si="20"/>
        <v>10.393893536743228</v>
      </c>
      <c r="R54" s="440">
        <f t="shared" si="5"/>
        <v>12.123046461063407</v>
      </c>
      <c r="S54" s="466">
        <f t="shared" si="19"/>
        <v>143079.38750558876</v>
      </c>
      <c r="T54" s="440">
        <f t="shared" si="7"/>
        <v>20471711128.97443</v>
      </c>
      <c r="U54" s="466">
        <f t="shared" si="8"/>
        <v>77533.858119842422</v>
      </c>
      <c r="V54" s="467">
        <f t="shared" si="9"/>
        <v>32659.580982033047</v>
      </c>
      <c r="W54" s="467">
        <f t="shared" si="10"/>
        <v>184065.40972632039</v>
      </c>
      <c r="X54" s="468">
        <f t="shared" si="11"/>
        <v>-0.64855302364082212</v>
      </c>
      <c r="Y54" s="468">
        <f t="shared" si="12"/>
        <v>0.64855302364082212</v>
      </c>
      <c r="Z54" s="471">
        <f t="shared" si="13"/>
        <v>9.6421994068747559</v>
      </c>
      <c r="AA54" s="480">
        <f t="shared" si="14"/>
        <v>11.285377639279758</v>
      </c>
      <c r="AB54" s="473">
        <f t="shared" si="15"/>
        <v>12.304166427631953</v>
      </c>
      <c r="AC54" s="976" t="s">
        <v>363</v>
      </c>
      <c r="AD54" s="435">
        <f t="shared" si="17"/>
        <v>10.420801177119669</v>
      </c>
      <c r="AE54" s="441">
        <f t="shared" si="18"/>
        <v>12.149954101439848</v>
      </c>
      <c r="AH54" t="s">
        <v>182</v>
      </c>
      <c r="AI54" s="510">
        <f t="shared" si="23"/>
        <v>0</v>
      </c>
    </row>
    <row r="55" spans="1:35">
      <c r="A55" s="134">
        <v>2004</v>
      </c>
      <c r="B55" s="440">
        <f t="shared" si="0"/>
        <v>2010</v>
      </c>
      <c r="C55" s="458">
        <f>VLOOKUP($A55,'Brd Tbl'!$A$8:$AX$64,28)</f>
        <v>10.541509658148065</v>
      </c>
      <c r="D55" s="458">
        <f>VLOOKUP($A55,'Brd Tbl'!$A$8:$AX$64,34)</f>
        <v>11.366689966564724</v>
      </c>
      <c r="E55" s="7">
        <v>46</v>
      </c>
      <c r="F55" s="7">
        <v>44</v>
      </c>
      <c r="G55" s="576">
        <v>6.1231118551982036</v>
      </c>
      <c r="H55" s="576">
        <v>0.53593095396476775</v>
      </c>
      <c r="I55" s="577">
        <v>0.13893810560877759</v>
      </c>
      <c r="J55" s="7">
        <v>11.772633182518309</v>
      </c>
      <c r="K55" s="7">
        <v>0.65118583945853559</v>
      </c>
      <c r="L55" s="7">
        <v>0.25270521824417114</v>
      </c>
      <c r="M55" s="576">
        <v>0.43690465419276547</v>
      </c>
      <c r="N55" s="440">
        <f t="shared" si="1"/>
        <v>-0.40594321595358451</v>
      </c>
      <c r="O55" s="440">
        <f t="shared" si="2"/>
        <v>0.16478989457873855</v>
      </c>
      <c r="P55" s="465">
        <f t="shared" si="3"/>
        <v>11.772633182518309</v>
      </c>
      <c r="Q55" s="440">
        <f t="shared" si="20"/>
        <v>10.908056720358219</v>
      </c>
      <c r="R55" s="440">
        <f t="shared" si="5"/>
        <v>12.637209644678398</v>
      </c>
      <c r="S55" s="466">
        <f t="shared" si="19"/>
        <v>-43259.685276798235</v>
      </c>
      <c r="T55" s="440">
        <f t="shared" si="7"/>
        <v>1871400370.2476339</v>
      </c>
      <c r="U55" s="466">
        <f t="shared" si="8"/>
        <v>129655.10721524167</v>
      </c>
      <c r="V55" s="467">
        <f t="shared" si="9"/>
        <v>54614.610655453464</v>
      </c>
      <c r="W55" s="467">
        <f t="shared" si="10"/>
        <v>307801.27561556146</v>
      </c>
      <c r="X55" s="468">
        <f t="shared" si="11"/>
        <v>0.5007173332357896</v>
      </c>
      <c r="Y55" s="468">
        <f t="shared" si="12"/>
        <v>0.5007173332357896</v>
      </c>
      <c r="Z55" s="471">
        <f t="shared" si="13"/>
        <v>10.541509658148065</v>
      </c>
      <c r="AA55" s="480">
        <f t="shared" si="14"/>
        <v>11.757791800979751</v>
      </c>
      <c r="AB55" s="473">
        <f t="shared" si="15"/>
        <v>11.366689966564724</v>
      </c>
      <c r="AC55" s="976" t="s">
        <v>363</v>
      </c>
      <c r="AD55" s="435">
        <f t="shared" si="17"/>
        <v>10.893215338819662</v>
      </c>
      <c r="AE55" s="441">
        <f t="shared" si="18"/>
        <v>12.62236826313984</v>
      </c>
      <c r="AH55" t="s">
        <v>182</v>
      </c>
      <c r="AI55" s="510">
        <f t="shared" si="23"/>
        <v>0</v>
      </c>
    </row>
    <row r="56" spans="1:35">
      <c r="A56" s="134">
        <v>2005</v>
      </c>
      <c r="B56" s="440">
        <f t="shared" si="0"/>
        <v>2011</v>
      </c>
      <c r="C56" s="458">
        <f>VLOOKUP($A56,'Brd Tbl'!$A$8:$AX$64,28)</f>
        <v>9.9800919386839855</v>
      </c>
      <c r="D56" s="458">
        <f>VLOOKUP($A56,'Brd Tbl'!$A$8:$AX$64,34)</f>
        <v>11.759463248879864</v>
      </c>
      <c r="E56" s="7">
        <v>46</v>
      </c>
      <c r="F56" s="7">
        <v>44</v>
      </c>
      <c r="G56" s="576">
        <v>6.2168670209185688</v>
      </c>
      <c r="H56" s="576">
        <v>0.52500050973283863</v>
      </c>
      <c r="I56" s="577">
        <v>0.13810486762655982</v>
      </c>
      <c r="J56" s="7">
        <v>11.456420375908255</v>
      </c>
      <c r="K56" s="7">
        <v>0.65238684283528892</v>
      </c>
      <c r="L56" s="7">
        <v>0.24723425780613431</v>
      </c>
      <c r="M56" s="576">
        <v>0.43849063053450132</v>
      </c>
      <c r="N56" s="440">
        <f t="shared" si="1"/>
        <v>0.30304287297160926</v>
      </c>
      <c r="O56" s="440">
        <f t="shared" si="2"/>
        <v>9.1834982858886902E-2</v>
      </c>
      <c r="P56" s="465">
        <f t="shared" si="3"/>
        <v>11.456420375908255</v>
      </c>
      <c r="Q56" s="440">
        <f t="shared" si="20"/>
        <v>10.591843913748166</v>
      </c>
      <c r="R56" s="440">
        <f t="shared" si="5"/>
        <v>12.320996838068345</v>
      </c>
      <c r="S56" s="466">
        <f t="shared" si="19"/>
        <v>33452.585511836296</v>
      </c>
      <c r="T56" s="440">
        <f t="shared" si="7"/>
        <v>1119075477.4267197</v>
      </c>
      <c r="U56" s="466">
        <f t="shared" si="8"/>
        <v>94506.167500547628</v>
      </c>
      <c r="V56" s="467">
        <f t="shared" si="9"/>
        <v>39808.825532903691</v>
      </c>
      <c r="W56" s="467">
        <f t="shared" si="10"/>
        <v>224357.6788835272</v>
      </c>
      <c r="X56" s="468">
        <f t="shared" si="11"/>
        <v>-0.26143256888881011</v>
      </c>
      <c r="Y56" s="468">
        <f t="shared" si="12"/>
        <v>0.26143256888881011</v>
      </c>
      <c r="Z56" s="471">
        <f t="shared" si="13"/>
        <v>9.9800919386839855</v>
      </c>
      <c r="AA56" s="480">
        <f t="shared" si="14"/>
        <v>11.462875023450945</v>
      </c>
      <c r="AB56" s="473">
        <f t="shared" si="15"/>
        <v>11.759463248879864</v>
      </c>
      <c r="AC56" s="976" t="s">
        <v>363</v>
      </c>
      <c r="AD56" s="435">
        <f t="shared" si="17"/>
        <v>10.598298561290855</v>
      </c>
      <c r="AE56" s="441">
        <f t="shared" si="18"/>
        <v>12.327451485611034</v>
      </c>
      <c r="AH56" t="s">
        <v>182</v>
      </c>
      <c r="AI56" s="510">
        <f t="shared" si="23"/>
        <v>0</v>
      </c>
    </row>
    <row r="57" spans="1:35">
      <c r="A57" s="134">
        <v>2006</v>
      </c>
      <c r="B57" s="440">
        <f t="shared" si="0"/>
        <v>2012</v>
      </c>
      <c r="C57" s="458">
        <f>VLOOKUP($A57,'Brd Tbl'!$A$8:$AX$64,28)</f>
        <v>10.783812788447905</v>
      </c>
      <c r="D57" s="458">
        <f>VLOOKUP($A57,'Brd Tbl'!$A$8:$AX$64,34)</f>
        <v>11.569237899901379</v>
      </c>
      <c r="E57" s="7">
        <v>46</v>
      </c>
      <c r="F57" s="7">
        <v>44</v>
      </c>
      <c r="G57" s="576">
        <v>6.1045234996074358</v>
      </c>
      <c r="H57" s="576">
        <v>0.53764211237081938</v>
      </c>
      <c r="I57" s="577">
        <v>0.14025647689582205</v>
      </c>
      <c r="J57" s="7">
        <v>11.902355386600025</v>
      </c>
      <c r="K57" s="7">
        <v>0.65211972615067937</v>
      </c>
      <c r="L57" s="7">
        <v>0.25034955891759114</v>
      </c>
      <c r="M57" s="576">
        <v>0.43807471146742455</v>
      </c>
      <c r="N57" s="440">
        <f t="shared" si="1"/>
        <v>-0.33311748669864549</v>
      </c>
      <c r="O57" s="440">
        <f t="shared" si="2"/>
        <v>0.11096725994442226</v>
      </c>
      <c r="P57" s="465">
        <f t="shared" si="3"/>
        <v>11.902355386600025</v>
      </c>
      <c r="Q57" s="440">
        <f t="shared" si="20"/>
        <v>11.037778924439936</v>
      </c>
      <c r="R57" s="440">
        <f t="shared" si="5"/>
        <v>12.766931848760114</v>
      </c>
      <c r="S57" s="466">
        <f t="shared" si="19"/>
        <v>-41821.087321425657</v>
      </c>
      <c r="T57" s="440">
        <f t="shared" si="7"/>
        <v>1749003344.7463098</v>
      </c>
      <c r="U57" s="466">
        <f t="shared" si="8"/>
        <v>147613.90390347567</v>
      </c>
      <c r="V57" s="467">
        <f t="shared" si="9"/>
        <v>62179.393177595768</v>
      </c>
      <c r="W57" s="467">
        <f t="shared" si="10"/>
        <v>350435.46602953644</v>
      </c>
      <c r="X57" s="468">
        <f t="shared" si="11"/>
        <v>0.39531121934909791</v>
      </c>
      <c r="Y57" s="468">
        <f t="shared" si="12"/>
        <v>0.39531121934909791</v>
      </c>
      <c r="Z57" s="471">
        <f t="shared" si="13"/>
        <v>10.783812788447905</v>
      </c>
      <c r="AA57" s="480">
        <f t="shared" si="14"/>
        <v>11.885075383053692</v>
      </c>
      <c r="AB57" s="473">
        <f t="shared" si="15"/>
        <v>11.569237899901379</v>
      </c>
      <c r="AC57" s="976" t="s">
        <v>363</v>
      </c>
      <c r="AD57" s="435">
        <f t="shared" si="17"/>
        <v>11.020498920893603</v>
      </c>
      <c r="AE57" s="441">
        <f t="shared" si="18"/>
        <v>12.749651845213782</v>
      </c>
      <c r="AH57" t="s">
        <v>182</v>
      </c>
      <c r="AI57" s="510">
        <f t="shared" si="23"/>
        <v>0</v>
      </c>
    </row>
    <row r="58" spans="1:35">
      <c r="A58" s="134">
        <v>2007</v>
      </c>
      <c r="B58" s="440">
        <f t="shared" si="0"/>
        <v>2013</v>
      </c>
      <c r="C58" s="458">
        <f>VLOOKUP($A58,'Brd Tbl'!$A$8:$AX$64,28)</f>
        <v>11.569452927271929</v>
      </c>
      <c r="D58" s="458">
        <f>VLOOKUP($A58,'Brd Tbl'!$A$8:$AX$64,34)</f>
        <v>12.591428938588949</v>
      </c>
      <c r="E58" s="7">
        <v>46</v>
      </c>
      <c r="F58" s="7">
        <v>44</v>
      </c>
      <c r="G58" s="576">
        <v>6.4579662227192705</v>
      </c>
      <c r="H58" s="576">
        <v>0.50070755899263886</v>
      </c>
      <c r="I58" s="577">
        <v>0.14709272747300559</v>
      </c>
      <c r="J58" s="7">
        <v>12.250878756813838</v>
      </c>
      <c r="K58" s="7">
        <v>0.65221047361567908</v>
      </c>
      <c r="L58" s="7">
        <v>0.20845367426684513</v>
      </c>
      <c r="M58" s="576">
        <v>0.43796586002475851</v>
      </c>
      <c r="N58" s="440">
        <f t="shared" si="1"/>
        <v>0.34055018177511087</v>
      </c>
      <c r="O58" s="440">
        <f t="shared" si="2"/>
        <v>0.11597442630706106</v>
      </c>
      <c r="P58" s="465">
        <f t="shared" si="3"/>
        <v>12.250878756813838</v>
      </c>
      <c r="Q58" s="440">
        <f t="shared" si="20"/>
        <v>11.386302294653749</v>
      </c>
      <c r="R58" s="440">
        <f t="shared" si="5"/>
        <v>13.115455218973928</v>
      </c>
      <c r="S58" s="466">
        <f t="shared" si="19"/>
        <v>84862.59230878466</v>
      </c>
      <c r="T58" s="440">
        <f t="shared" si="7"/>
        <v>7201659573.3669977</v>
      </c>
      <c r="U58" s="466">
        <f t="shared" si="8"/>
        <v>209165.01331400272</v>
      </c>
      <c r="V58" s="467">
        <f t="shared" si="9"/>
        <v>88106.562172848266</v>
      </c>
      <c r="W58" s="467">
        <f t="shared" si="10"/>
        <v>496557.82402243518</v>
      </c>
      <c r="X58" s="468">
        <f t="shared" si="11"/>
        <v>-0.28862117259035946</v>
      </c>
      <c r="Y58" s="468">
        <f t="shared" si="12"/>
        <v>0.28862117259035946</v>
      </c>
      <c r="Z58" s="471">
        <f t="shared" si="13"/>
        <v>11.569452927271929</v>
      </c>
      <c r="AA58" s="480">
        <f t="shared" si="14"/>
        <v>12.29777781478392</v>
      </c>
      <c r="AB58" s="473">
        <f t="shared" si="15"/>
        <v>12.591428938588949</v>
      </c>
      <c r="AC58" s="976" t="s">
        <v>363</v>
      </c>
      <c r="AD58" s="435">
        <f t="shared" si="17"/>
        <v>11.433201352623831</v>
      </c>
      <c r="AE58" s="441">
        <f t="shared" si="18"/>
        <v>13.16235427694401</v>
      </c>
      <c r="AH58" t="s">
        <v>182</v>
      </c>
      <c r="AI58" s="510">
        <f t="shared" si="23"/>
        <v>0</v>
      </c>
    </row>
    <row r="59" spans="1:35">
      <c r="A59" s="134">
        <v>2008</v>
      </c>
      <c r="B59" s="440">
        <f t="shared" si="0"/>
        <v>2014</v>
      </c>
      <c r="C59" s="458">
        <f>VLOOKUP($A59,'Brd Tbl'!$A$8:$AX$64,28)</f>
        <v>11.3541796957181</v>
      </c>
      <c r="D59" s="458">
        <f>VLOOKUP($A59,'Brd Tbl'!$A$8:$AX$64,34)</f>
        <v>12.095403347211487</v>
      </c>
      <c r="E59" s="7">
        <v>46</v>
      </c>
      <c r="F59" s="7">
        <v>44</v>
      </c>
      <c r="G59" s="576">
        <v>6.1599587945469496</v>
      </c>
      <c r="H59" s="576">
        <v>0.53157719633663914</v>
      </c>
      <c r="I59" s="577">
        <v>0.14502951246892809</v>
      </c>
      <c r="J59" s="7">
        <v>12.195581803899172</v>
      </c>
      <c r="K59" s="7">
        <v>0.65379507673416826</v>
      </c>
      <c r="L59" s="7">
        <v>0.23390927313128201</v>
      </c>
      <c r="M59" s="578">
        <v>0.44026887531003533</v>
      </c>
      <c r="N59" s="475">
        <f t="shared" si="1"/>
        <v>-0.10017845668768466</v>
      </c>
      <c r="O59" s="440">
        <f t="shared" si="2"/>
        <v>1.0035723184326311E-2</v>
      </c>
      <c r="P59" s="465">
        <f t="shared" si="3"/>
        <v>12.195581803899172</v>
      </c>
      <c r="Q59" s="440">
        <f t="shared" si="20"/>
        <v>11.331005341739083</v>
      </c>
      <c r="R59" s="440">
        <f t="shared" si="5"/>
        <v>13.060158266059261</v>
      </c>
      <c r="S59" s="466">
        <f>EXP(D59)-$E$59</f>
        <v>179000.95112404641</v>
      </c>
      <c r="T59" s="440">
        <f t="shared" si="7"/>
        <v>32041340503.313251</v>
      </c>
      <c r="U59" s="466">
        <f t="shared" si="8"/>
        <v>197912.79906372313</v>
      </c>
      <c r="V59" s="467">
        <f t="shared" si="9"/>
        <v>83366.792845670352</v>
      </c>
      <c r="W59" s="467">
        <f t="shared" si="10"/>
        <v>469845.06295868504</v>
      </c>
      <c r="X59" s="468">
        <f t="shared" si="11"/>
        <v>0.10536816081613241</v>
      </c>
      <c r="Y59" s="468">
        <f t="shared" si="12"/>
        <v>0.10536816081613241</v>
      </c>
      <c r="Z59" s="471">
        <f t="shared" si="13"/>
        <v>11.3541796957181</v>
      </c>
      <c r="AA59" s="480">
        <f t="shared" si="14"/>
        <v>12.184693233487357</v>
      </c>
      <c r="AB59" s="473">
        <f t="shared" si="15"/>
        <v>12.095403347211487</v>
      </c>
      <c r="AC59" s="976" t="s">
        <v>476</v>
      </c>
      <c r="AD59" s="435">
        <f t="shared" si="17"/>
        <v>11.320116771327267</v>
      </c>
      <c r="AE59" s="441">
        <f t="shared" si="18"/>
        <v>13.049269695647446</v>
      </c>
      <c r="AI59" s="11"/>
    </row>
    <row r="60" spans="1:35">
      <c r="A60" s="134"/>
      <c r="E60" s="7"/>
      <c r="F60" s="7"/>
      <c r="G60" s="7"/>
      <c r="H60" s="7"/>
      <c r="I60" s="7"/>
      <c r="J60" s="7"/>
      <c r="K60" s="7"/>
      <c r="L60" s="7"/>
      <c r="M60" s="7"/>
      <c r="V60" s="2"/>
      <c r="W60" s="2"/>
      <c r="X60" s="47"/>
      <c r="Y60" s="468"/>
      <c r="Z60" s="139"/>
      <c r="AA60" s="139"/>
      <c r="AB60" s="139"/>
      <c r="AC60" s="800"/>
      <c r="AD60" s="23"/>
      <c r="AE60" s="47"/>
    </row>
    <row r="61" spans="1:35">
      <c r="A61" s="134">
        <v>2009</v>
      </c>
      <c r="B61" s="440">
        <f>A61+6</f>
        <v>2015</v>
      </c>
      <c r="C61" s="458">
        <f>VLOOKUP($A61,'Brd Tbl'!$A$8:$AX$64,28)</f>
        <v>11.392566663424974</v>
      </c>
      <c r="D61" s="10"/>
      <c r="E61" s="7">
        <v>47</v>
      </c>
      <c r="F61" s="7">
        <v>45</v>
      </c>
      <c r="G61" s="576">
        <v>6.220260741864819</v>
      </c>
      <c r="H61" s="576">
        <v>0.52530721297918603</v>
      </c>
      <c r="I61" s="577">
        <v>0.13688747051449482</v>
      </c>
      <c r="J61" s="7">
        <v>12.204858184508176</v>
      </c>
      <c r="K61" s="7">
        <v>0.64664359111622183</v>
      </c>
      <c r="L61" s="7">
        <v>0.24656550487281692</v>
      </c>
      <c r="M61" s="576">
        <v>0.43111497845629687</v>
      </c>
      <c r="N61" s="797">
        <f>D61-$E$61</f>
        <v>-47</v>
      </c>
      <c r="O61" s="440">
        <f>N61^2</f>
        <v>2209</v>
      </c>
      <c r="P61" s="465">
        <f>J61</f>
        <v>12.204858184508176</v>
      </c>
      <c r="Q61" s="440">
        <f>$P61-(SQRT(O64)*Q64)</f>
        <v>11.350630086369215</v>
      </c>
      <c r="R61" s="440">
        <f>$P61+SQRT(O64)*Q64</f>
        <v>13.059086282647137</v>
      </c>
      <c r="S61" s="466">
        <f>EXP(D61)-$E$61</f>
        <v>-46</v>
      </c>
      <c r="T61" s="440">
        <f>S61^2</f>
        <v>2116</v>
      </c>
      <c r="U61" s="485">
        <f>EXP(P61)</f>
        <v>199757.25522746833</v>
      </c>
      <c r="V61" s="899">
        <f>EXP(Q61)</f>
        <v>85019.003950320621</v>
      </c>
      <c r="W61" s="899">
        <f>EXP(R61)</f>
        <v>469341.66670934559</v>
      </c>
      <c r="X61" s="169"/>
      <c r="Y61" s="468"/>
      <c r="Z61" s="471">
        <f>C61</f>
        <v>11.392566663424974</v>
      </c>
      <c r="AA61" s="471">
        <f>(+G61+H61*C61)</f>
        <v>12.204858184508176</v>
      </c>
      <c r="AB61" s="139"/>
      <c r="AC61" s="799" t="s">
        <v>477</v>
      </c>
      <c r="AD61" s="435">
        <f>AA61-SQRT(O64)*Q64</f>
        <v>11.350630086369215</v>
      </c>
      <c r="AE61" s="441">
        <f>AA61+SQRT(O64)*Q64</f>
        <v>13.059086282647137</v>
      </c>
      <c r="AF61" s="440">
        <f>AA61</f>
        <v>12.204858184508176</v>
      </c>
    </row>
    <row r="62" spans="1:35">
      <c r="A62" s="26"/>
      <c r="B62" s="42"/>
      <c r="C62" s="180"/>
      <c r="D62" s="42"/>
      <c r="E62" s="42"/>
      <c r="F62" s="42"/>
      <c r="G62" s="42"/>
      <c r="H62" s="174"/>
      <c r="I62" s="42"/>
      <c r="J62" s="42"/>
      <c r="K62" s="42"/>
      <c r="L62" s="42"/>
      <c r="M62" s="42"/>
      <c r="N62" s="42"/>
      <c r="O62" s="42"/>
      <c r="P62" s="42"/>
      <c r="Q62" s="42"/>
      <c r="R62" s="42"/>
      <c r="S62" s="42"/>
      <c r="T62" s="42"/>
      <c r="U62" s="42"/>
      <c r="V62" s="105"/>
      <c r="W62" s="105"/>
      <c r="X62" s="49"/>
      <c r="Y62" s="227"/>
      <c r="Z62" s="139"/>
      <c r="AA62" s="49"/>
      <c r="AB62" s="49"/>
      <c r="AC62" s="49"/>
      <c r="AD62" s="42"/>
      <c r="AE62" s="49"/>
    </row>
    <row r="63" spans="1:35">
      <c r="A63" s="23"/>
      <c r="C63" s="10"/>
      <c r="E63" s="54" t="s">
        <v>184</v>
      </c>
      <c r="F63" s="440">
        <f>F59</f>
        <v>44</v>
      </c>
      <c r="H63" s="9"/>
      <c r="M63" s="54" t="s">
        <v>185</v>
      </c>
      <c r="O63" s="924">
        <f>AVERAGE(INDEX(O$13:O$60,COUNT(O$13:O$60)-1,0):INDEX(O$13:O$60,(COUNT(O$13:O$60)-(COUNT(O$13:O$60)-1)),0))</f>
        <v>0.44026887531003533</v>
      </c>
      <c r="P63" s="54" t="s">
        <v>186</v>
      </c>
      <c r="Q63" s="440">
        <f>VLOOKUP(F63,ttab!$A$4:$G$44,4)</f>
        <v>1.3029999999999999</v>
      </c>
      <c r="V63" s="2"/>
      <c r="W63" s="2"/>
      <c r="X63" s="47"/>
      <c r="Z63" s="36"/>
    </row>
    <row r="64" spans="1:35">
      <c r="A64" s="23"/>
      <c r="C64" s="54" t="s">
        <v>218</v>
      </c>
      <c r="D64" s="440">
        <f>AVERAGEA(D13:D59)</f>
        <v>11.451011048507654</v>
      </c>
      <c r="E64" s="54" t="s">
        <v>184</v>
      </c>
      <c r="F64" s="440">
        <f>F61</f>
        <v>45</v>
      </c>
      <c r="M64" s="54" t="s">
        <v>188</v>
      </c>
      <c r="O64" s="897">
        <f>AVERAGEA(O13:O60)</f>
        <v>0.43111497845629687</v>
      </c>
      <c r="P64" s="54" t="s">
        <v>186</v>
      </c>
      <c r="Q64" s="440">
        <f>VLOOKUP(F64,ttab!$A$4:$G$44,4)</f>
        <v>1.3009999999999999</v>
      </c>
      <c r="S64" s="54" t="s">
        <v>189</v>
      </c>
      <c r="T64" s="898">
        <f>AVERAGEA(T13:T60)</f>
        <v>6139887395.8971806</v>
      </c>
      <c r="W64" t="s">
        <v>190</v>
      </c>
      <c r="X64" s="486">
        <f>AVERAGEA(X13:X60)</f>
        <v>0.28829701384711243</v>
      </c>
      <c r="Y64" s="486">
        <f>AVERAGEA(Y13:Y60)</f>
        <v>0.65974043859084985</v>
      </c>
      <c r="Z64" s="23"/>
    </row>
    <row r="65" spans="1:24">
      <c r="A65" s="42"/>
      <c r="B65" s="42"/>
      <c r="C65" s="42"/>
      <c r="D65" s="42"/>
      <c r="E65" s="42"/>
      <c r="F65" s="42"/>
      <c r="G65" s="42"/>
      <c r="H65" s="42"/>
      <c r="I65" s="42"/>
      <c r="J65" s="42"/>
      <c r="K65" s="42"/>
      <c r="L65" s="42"/>
      <c r="M65" s="42"/>
      <c r="N65" s="42"/>
      <c r="O65" s="42"/>
      <c r="P65" s="42"/>
      <c r="Q65" s="42"/>
      <c r="R65" s="42"/>
      <c r="S65" s="42"/>
      <c r="T65" s="42"/>
      <c r="U65" s="42"/>
      <c r="V65" s="42"/>
      <c r="W65" s="42"/>
      <c r="X65" s="49"/>
    </row>
    <row r="66" spans="1:24">
      <c r="B66" t="s">
        <v>194</v>
      </c>
      <c r="D66" t="s">
        <v>195</v>
      </c>
    </row>
    <row r="67" spans="1:24" ht="15" customHeight="1">
      <c r="A67" s="134">
        <v>1962</v>
      </c>
      <c r="B67" s="436">
        <f>('Brd Tbl'!AG$62-'Brd Tbl'!AG9)/'Brd Tbl'!AG$62</f>
        <v>0.75926319907919626</v>
      </c>
      <c r="D67" s="526">
        <f t="shared" ref="D67:D95" si="24">(D13-D$64)/D$64</f>
        <v>-0.10609436230574597</v>
      </c>
    </row>
    <row r="68" spans="1:24" ht="15" customHeight="1">
      <c r="A68" s="134">
        <v>1963</v>
      </c>
      <c r="B68" s="436">
        <f>('Brd Tbl'!AG$62-'Brd Tbl'!AG10)/'Brd Tbl'!AG$62</f>
        <v>0.91781341335249678</v>
      </c>
      <c r="D68" s="526">
        <f t="shared" si="24"/>
        <v>-0.19994739506511114</v>
      </c>
    </row>
    <row r="69" spans="1:24" ht="15" customHeight="1">
      <c r="A69" s="134">
        <v>1964</v>
      </c>
      <c r="B69" s="436">
        <f>('Brd Tbl'!AG$62-'Brd Tbl'!AG11)/'Brd Tbl'!AG$62</f>
        <v>0.78548728063186801</v>
      </c>
      <c r="D69" s="526">
        <f t="shared" si="24"/>
        <v>-0.11616641528757117</v>
      </c>
    </row>
    <row r="70" spans="1:24" ht="15" customHeight="1">
      <c r="A70" s="134">
        <v>1965</v>
      </c>
      <c r="B70" s="436">
        <f>('Brd Tbl'!AG$62-'Brd Tbl'!AG12)/'Brd Tbl'!AG$62</f>
        <v>-1.0929794577637397</v>
      </c>
      <c r="D70" s="526">
        <f t="shared" si="24"/>
        <v>8.2765789358070857E-2</v>
      </c>
    </row>
    <row r="71" spans="1:24" ht="15" customHeight="1">
      <c r="A71" s="134">
        <v>1966</v>
      </c>
      <c r="B71" s="436">
        <f>('Brd Tbl'!AG$62-'Brd Tbl'!AG13)/'Brd Tbl'!AG$62</f>
        <v>-1.4194278628096644</v>
      </c>
      <c r="D71" s="526">
        <f t="shared" si="24"/>
        <v>9.5423402087084358E-2</v>
      </c>
    </row>
    <row r="72" spans="1:24" ht="15" customHeight="1">
      <c r="A72" s="134">
        <v>1967</v>
      </c>
      <c r="B72" s="436">
        <f>('Brd Tbl'!AG$62-'Brd Tbl'!AG14)/'Brd Tbl'!AG$62</f>
        <v>0.55571074886762462</v>
      </c>
      <c r="D72" s="526">
        <f t="shared" si="24"/>
        <v>-5.2581917867518167E-2</v>
      </c>
    </row>
    <row r="73" spans="1:24" ht="15" customHeight="1">
      <c r="A73" s="134">
        <v>1968</v>
      </c>
      <c r="B73" s="436">
        <f>('Brd Tbl'!AG$62-'Brd Tbl'!AG15)/'Brd Tbl'!AG$62</f>
        <v>0.42251075796756465</v>
      </c>
      <c r="D73" s="526">
        <f t="shared" si="24"/>
        <v>-2.9683154102291193E-2</v>
      </c>
    </row>
    <row r="74" spans="1:24" ht="15" customHeight="1">
      <c r="A74" s="134">
        <v>1969</v>
      </c>
      <c r="B74" s="436">
        <f>('Brd Tbl'!AG$62-'Brd Tbl'!AG16)/'Brd Tbl'!AG$62</f>
        <v>7.4847268531877773E-2</v>
      </c>
      <c r="D74" s="526">
        <f t="shared" si="24"/>
        <v>1.1472078678428591E-2</v>
      </c>
    </row>
    <row r="75" spans="1:24" ht="15" customHeight="1">
      <c r="A75" s="134">
        <v>1970</v>
      </c>
      <c r="B75" s="436">
        <f>('Brd Tbl'!AG$62-'Brd Tbl'!AG17)/'Brd Tbl'!AG$62</f>
        <v>0.76004603820879246</v>
      </c>
      <c r="D75" s="526">
        <f t="shared" si="24"/>
        <v>-0.106378804024884</v>
      </c>
    </row>
    <row r="76" spans="1:24" ht="15" customHeight="1">
      <c r="A76" s="178">
        <v>1971</v>
      </c>
      <c r="B76" s="436">
        <f>('Brd Tbl'!AG$62-'Brd Tbl'!AG18)/'Brd Tbl'!AG$62</f>
        <v>0.27156750182119233</v>
      </c>
      <c r="D76" s="526">
        <f t="shared" si="24"/>
        <v>-9.4050190093561449E-3</v>
      </c>
    </row>
    <row r="77" spans="1:24" ht="15" customHeight="1">
      <c r="A77" s="134">
        <v>1972</v>
      </c>
      <c r="B77" s="436">
        <f>('Brd Tbl'!AG$62-'Brd Tbl'!AG19)/'Brd Tbl'!AG$62</f>
        <v>0.70932526580479704</v>
      </c>
      <c r="D77" s="526">
        <f t="shared" si="24"/>
        <v>-8.9632875632095585E-2</v>
      </c>
    </row>
    <row r="78" spans="1:24" ht="15" customHeight="1">
      <c r="A78" s="134">
        <v>1973</v>
      </c>
      <c r="B78" s="436">
        <f>('Brd Tbl'!AG$62-'Brd Tbl'!AG20)/'Brd Tbl'!AG$62</f>
        <v>0.2788964880930449</v>
      </c>
      <c r="D78" s="526">
        <f t="shared" si="24"/>
        <v>-1.0288108593136853E-2</v>
      </c>
    </row>
    <row r="79" spans="1:24" ht="15" customHeight="1">
      <c r="A79" s="134">
        <v>1974</v>
      </c>
      <c r="B79" s="436">
        <f>('Brd Tbl'!AG$62-'Brd Tbl'!AG21)/'Brd Tbl'!AG$62</f>
        <v>0.74053201573686855</v>
      </c>
      <c r="D79" s="526">
        <f t="shared" si="24"/>
        <v>-9.955091425307111E-2</v>
      </c>
    </row>
    <row r="80" spans="1:24" ht="15" customHeight="1">
      <c r="A80" s="134">
        <v>1975</v>
      </c>
      <c r="B80" s="436">
        <f>('Brd Tbl'!AG$62-'Brd Tbl'!AG22)/'Brd Tbl'!AG$62</f>
        <v>0.42487059543410244</v>
      </c>
      <c r="D80" s="526">
        <f t="shared" si="24"/>
        <v>-3.0040742335661629E-2</v>
      </c>
    </row>
    <row r="81" spans="1:4" ht="15" customHeight="1">
      <c r="A81" s="134">
        <v>1976</v>
      </c>
      <c r="B81" s="436">
        <f>('Brd Tbl'!AG$62-'Brd Tbl'!AG23)/'Brd Tbl'!AG$62</f>
        <v>0.33643162851003833</v>
      </c>
      <c r="D81" s="526">
        <f t="shared" si="24"/>
        <v>-1.7549545910458146E-2</v>
      </c>
    </row>
    <row r="82" spans="1:4" ht="15" customHeight="1">
      <c r="A82" s="134">
        <v>1977</v>
      </c>
      <c r="B82" s="436">
        <f>('Brd Tbl'!AG$62-'Brd Tbl'!AG24)/'Brd Tbl'!AG$62</f>
        <v>-0.23902832713012301</v>
      </c>
      <c r="D82" s="526">
        <f t="shared" si="24"/>
        <v>3.6982830877061675E-2</v>
      </c>
    </row>
    <row r="83" spans="1:4" ht="15" customHeight="1">
      <c r="A83" s="134">
        <v>1978</v>
      </c>
      <c r="B83" s="436">
        <f>('Brd Tbl'!AG$62-'Brd Tbl'!AG25)/'Brd Tbl'!AG$62</f>
        <v>-0.18793643290994808</v>
      </c>
      <c r="D83" s="526">
        <f t="shared" si="24"/>
        <v>3.33054478715296E-2</v>
      </c>
    </row>
    <row r="84" spans="1:4" ht="15" customHeight="1">
      <c r="A84" s="134">
        <v>1979</v>
      </c>
      <c r="B84" s="436">
        <f>('Brd Tbl'!AG$62-'Brd Tbl'!AG26)/'Brd Tbl'!AG$62</f>
        <v>-0.46071256786859738</v>
      </c>
      <c r="D84" s="526">
        <f t="shared" si="24"/>
        <v>5.1356837753928963E-2</v>
      </c>
    </row>
    <row r="85" spans="1:4" ht="15" customHeight="1">
      <c r="A85" s="134">
        <v>1980</v>
      </c>
      <c r="B85" s="436">
        <f>('Brd Tbl'!AG$62-'Brd Tbl'!AG27)/'Brd Tbl'!AG$62</f>
        <v>-0.33134870170431774</v>
      </c>
      <c r="D85" s="526">
        <f t="shared" si="24"/>
        <v>4.3258698070345929E-2</v>
      </c>
    </row>
    <row r="86" spans="1:4" ht="15" customHeight="1">
      <c r="A86" s="134">
        <v>1981</v>
      </c>
      <c r="B86" s="436">
        <f>('Brd Tbl'!AG$62-'Brd Tbl'!AG28)/'Brd Tbl'!AG$62</f>
        <v>0.17043210184289995</v>
      </c>
      <c r="D86" s="526">
        <f t="shared" si="24"/>
        <v>1.9485634253095499E-3</v>
      </c>
    </row>
    <row r="87" spans="1:4" ht="15" customHeight="1">
      <c r="A87" s="134">
        <v>1982</v>
      </c>
      <c r="B87" s="436">
        <f>('Brd Tbl'!AG$62-'Brd Tbl'!AG29)/'Brd Tbl'!AG$62</f>
        <v>0.37222548550854034</v>
      </c>
      <c r="D87" s="526">
        <f t="shared" si="24"/>
        <v>-2.2391987010170759E-2</v>
      </c>
    </row>
    <row r="88" spans="1:4">
      <c r="A88" s="134">
        <v>1983</v>
      </c>
      <c r="B88" s="436">
        <f>('Brd Tbl'!AG$62-'Brd Tbl'!AG30)/'Brd Tbl'!AG$62</f>
        <v>-0.30388992134508014</v>
      </c>
      <c r="D88" s="526">
        <f t="shared" si="24"/>
        <v>4.1438732482204796E-2</v>
      </c>
    </row>
    <row r="89" spans="1:4">
      <c r="A89" s="134">
        <v>1984</v>
      </c>
      <c r="B89" s="436">
        <f>('Brd Tbl'!AG$62-'Brd Tbl'!AG31)/'Brd Tbl'!AG$62</f>
        <v>-0.91689910337323421</v>
      </c>
      <c r="D89" s="526">
        <f t="shared" si="24"/>
        <v>7.5091375439785016E-2</v>
      </c>
    </row>
    <row r="90" spans="1:4">
      <c r="A90" s="134">
        <v>1985</v>
      </c>
      <c r="B90" s="436">
        <f>('Brd Tbl'!AG$62-'Brd Tbl'!AG32)/'Brd Tbl'!AG$62</f>
        <v>0.41006271025881552</v>
      </c>
      <c r="D90" s="526">
        <f t="shared" si="24"/>
        <v>-2.7820748339257986E-2</v>
      </c>
    </row>
    <row r="91" spans="1:4">
      <c r="A91" s="134">
        <v>1986</v>
      </c>
      <c r="B91" s="436">
        <f>('Brd Tbl'!AG$62-'Brd Tbl'!AG33)/'Brd Tbl'!AG$62</f>
        <v>0.11638741972867545</v>
      </c>
      <c r="D91" s="526">
        <f t="shared" si="24"/>
        <v>7.4601945028385849E-3</v>
      </c>
    </row>
    <row r="92" spans="1:4">
      <c r="A92" s="134">
        <v>1987</v>
      </c>
      <c r="B92" s="436">
        <f>('Brd Tbl'!AG$62-'Brd Tbl'!AG34)/'Brd Tbl'!AG$62</f>
        <v>-0.44915284302787717</v>
      </c>
      <c r="D92" s="526">
        <f t="shared" si="24"/>
        <v>5.0662991830505787E-2</v>
      </c>
    </row>
    <row r="93" spans="1:4">
      <c r="A93" s="134">
        <v>1988</v>
      </c>
      <c r="B93" s="436">
        <f>('Brd Tbl'!AG$62-'Brd Tbl'!AG35)/'Brd Tbl'!AG$62</f>
        <v>0.51530469337340223</v>
      </c>
      <c r="D93" s="526">
        <f t="shared" si="24"/>
        <v>-4.4980436866997681E-2</v>
      </c>
    </row>
    <row r="94" spans="1:4">
      <c r="A94" s="134">
        <v>1989</v>
      </c>
      <c r="B94" s="436">
        <f>('Brd Tbl'!AG$62-'Brd Tbl'!AG36)/'Brd Tbl'!AG$62</f>
        <v>2.2640735479436323E-2</v>
      </c>
      <c r="D94" s="526">
        <f t="shared" si="24"/>
        <v>1.6266019349996438E-2</v>
      </c>
    </row>
    <row r="95" spans="1:4">
      <c r="A95" s="134">
        <v>1990</v>
      </c>
      <c r="B95" s="436">
        <f>('Brd Tbl'!AG$62-'Brd Tbl'!AG37)/'Brd Tbl'!AG$62</f>
        <v>-0.17591469924572928</v>
      </c>
      <c r="D95" s="526">
        <f t="shared" si="24"/>
        <v>3.2417194456740017E-2</v>
      </c>
    </row>
    <row r="96" spans="1:4">
      <c r="A96" s="134">
        <v>1991</v>
      </c>
      <c r="B96" s="436">
        <f>('Brd Tbl'!AG$62-'Brd Tbl'!AG38)/'Brd Tbl'!AG$62</f>
        <v>-1.3417963587321606</v>
      </c>
      <c r="D96" s="526">
        <f>(D59-D$64)/D$64</f>
        <v>5.6273834334289029E-2</v>
      </c>
    </row>
  </sheetData>
  <sortState ref="A13:AE59">
    <sortCondition ref="B13"/>
  </sortState>
  <phoneticPr fontId="60" type="noConversion"/>
  <pageMargins left="0.55000000000000004" right="0.50800000000000001" top="0.5" bottom="1" header="0.5" footer="0.5"/>
  <pageSetup scale="37" orientation="portrait" horizontalDpi="300" verticalDpi="300" r:id="rId1"/>
  <headerFooter alignWithMargins="0"/>
  <rowBreaks count="1" manualBreakCount="1">
    <brk id="87" max="16383" man="1"/>
  </rowBreaks>
  <drawing r:id="rId2"/>
  <legacyDrawing r:id="rId3"/>
  <controls>
    <mc:AlternateContent xmlns:mc="http://schemas.openxmlformats.org/markup-compatibility/2006">
      <mc:Choice Requires="x14">
        <control shapeId="13337" r:id="rId4" name="CommandButton1">
          <controlPr defaultSize="0" autoLine="0" r:id="rId5">
            <anchor moveWithCells="1">
              <from>
                <xdr:col>8</xdr:col>
                <xdr:colOff>114300</xdr:colOff>
                <xdr:row>1</xdr:row>
                <xdr:rowOff>171450</xdr:rowOff>
              </from>
              <to>
                <xdr:col>12</xdr:col>
                <xdr:colOff>361950</xdr:colOff>
                <xdr:row>6</xdr:row>
                <xdr:rowOff>9525</xdr:rowOff>
              </to>
            </anchor>
          </controlPr>
        </control>
      </mc:Choice>
      <mc:Fallback>
        <control shapeId="13337" r:id="rId4" name="CommandButton1"/>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17"/>
  <dimension ref="A1:AI67"/>
  <sheetViews>
    <sheetView zoomScale="75" workbookViewId="0">
      <pane ySplit="11" topLeftCell="A38" activePane="bottomLeft" state="frozen"/>
      <selection activeCell="W48" sqref="W48"/>
      <selection pane="bottomLeft" activeCell="Y64" sqref="Y64"/>
    </sheetView>
  </sheetViews>
  <sheetFormatPr defaultColWidth="9.6640625" defaultRowHeight="15"/>
  <cols>
    <col min="1" max="1" width="6.109375" customWidth="1"/>
    <col min="2" max="2" width="6.77734375" customWidth="1"/>
    <col min="5" max="5" width="4.109375" customWidth="1"/>
    <col min="6" max="6" width="4.6640625" customWidth="1"/>
    <col min="8" max="8" width="8.6640625" customWidth="1"/>
    <col min="9" max="9" width="13.6640625" customWidth="1"/>
    <col min="16" max="16" width="10.77734375" customWidth="1"/>
    <col min="20" max="20" width="12.5546875" bestFit="1" customWidth="1"/>
    <col min="24" max="24" width="12.44140625" bestFit="1" customWidth="1"/>
    <col min="25" max="25" width="11.109375" customWidth="1"/>
  </cols>
  <sheetData>
    <row r="1" spans="1:32">
      <c r="A1" t="s">
        <v>0</v>
      </c>
      <c r="B1" s="440" t="str">
        <f ca="1">CELL("filename",B2)</f>
        <v>O:\DCF\SALMON\FORECAST\2015\[2015_Copper River Wild Sockeye forecast_FINAL.xlsm]ln23xln13</v>
      </c>
      <c r="G1" t="s">
        <v>216</v>
      </c>
    </row>
    <row r="2" spans="1:32">
      <c r="G2" s="242" t="s">
        <v>154</v>
      </c>
      <c r="H2" s="148" t="s">
        <v>207</v>
      </c>
    </row>
    <row r="3" spans="1:32">
      <c r="G3" s="242" t="s">
        <v>155</v>
      </c>
      <c r="H3" s="148" t="s">
        <v>217</v>
      </c>
    </row>
    <row r="4" spans="1:32">
      <c r="G4" s="54" t="s">
        <v>253</v>
      </c>
      <c r="H4" s="13">
        <v>6</v>
      </c>
    </row>
    <row r="5" spans="1:32">
      <c r="B5" s="13"/>
    </row>
    <row r="6" spans="1:32">
      <c r="B6" s="13"/>
    </row>
    <row r="8" spans="1:32">
      <c r="AA8" t="s">
        <v>156</v>
      </c>
    </row>
    <row r="9" spans="1:32">
      <c r="A9" s="123"/>
      <c r="B9" s="123"/>
      <c r="C9" s="121" t="s">
        <v>157</v>
      </c>
      <c r="D9" s="126"/>
      <c r="E9" s="121"/>
      <c r="F9" s="119"/>
      <c r="G9" s="119"/>
      <c r="H9" s="119" t="s">
        <v>158</v>
      </c>
      <c r="I9" s="119"/>
      <c r="J9" s="119"/>
      <c r="K9" s="119"/>
      <c r="L9" s="119"/>
      <c r="M9" s="126"/>
      <c r="N9" s="121" t="s">
        <v>159</v>
      </c>
      <c r="O9" s="119"/>
      <c r="P9" s="119"/>
      <c r="Q9" s="119"/>
      <c r="R9" s="126"/>
      <c r="S9" s="121" t="s">
        <v>160</v>
      </c>
      <c r="T9" s="119"/>
      <c r="U9" s="119"/>
      <c r="V9" s="119"/>
      <c r="W9" s="126"/>
      <c r="X9" s="122" t="s">
        <v>109</v>
      </c>
      <c r="Y9" s="415" t="s">
        <v>329</v>
      </c>
      <c r="Z9" s="164" t="s">
        <v>161</v>
      </c>
      <c r="AA9" s="164" t="s">
        <v>162</v>
      </c>
      <c r="AB9" s="164" t="s">
        <v>163</v>
      </c>
      <c r="AC9" s="164" t="s">
        <v>164</v>
      </c>
      <c r="AD9" s="158" t="s">
        <v>25</v>
      </c>
      <c r="AE9" s="159"/>
    </row>
    <row r="10" spans="1:32">
      <c r="A10" s="100" t="s">
        <v>23</v>
      </c>
      <c r="B10" s="139" t="s">
        <v>29</v>
      </c>
      <c r="C10" s="209" t="s">
        <v>165</v>
      </c>
      <c r="D10" s="209" t="s">
        <v>166</v>
      </c>
      <c r="E10" s="123"/>
      <c r="F10" s="123"/>
      <c r="G10" s="123"/>
      <c r="H10" s="123"/>
      <c r="I10" s="209" t="s">
        <v>167</v>
      </c>
      <c r="J10" s="209" t="s">
        <v>168</v>
      </c>
      <c r="K10" s="209" t="s">
        <v>167</v>
      </c>
      <c r="L10" s="123"/>
      <c r="M10" s="226" t="s">
        <v>169</v>
      </c>
      <c r="N10" s="123"/>
      <c r="O10" s="123"/>
      <c r="P10" s="122" t="s">
        <v>24</v>
      </c>
      <c r="Q10" s="122" t="s">
        <v>170</v>
      </c>
      <c r="R10" s="122" t="s">
        <v>171</v>
      </c>
      <c r="S10" s="123"/>
      <c r="T10" s="123"/>
      <c r="U10" s="122" t="s">
        <v>24</v>
      </c>
      <c r="V10" s="122" t="s">
        <v>170</v>
      </c>
      <c r="W10" s="122" t="s">
        <v>171</v>
      </c>
      <c r="X10" s="100" t="s">
        <v>115</v>
      </c>
      <c r="Y10" s="416" t="s">
        <v>323</v>
      </c>
      <c r="Z10" s="139"/>
      <c r="AA10" s="122" t="s">
        <v>172</v>
      </c>
      <c r="AB10" s="122" t="s">
        <v>112</v>
      </c>
      <c r="AC10" s="122" t="s">
        <v>29</v>
      </c>
      <c r="AD10" s="164" t="s">
        <v>173</v>
      </c>
      <c r="AE10" s="164" t="s">
        <v>174</v>
      </c>
    </row>
    <row r="11" spans="1:32" ht="16.5">
      <c r="A11" s="125" t="s">
        <v>27</v>
      </c>
      <c r="B11" s="27" t="s">
        <v>27</v>
      </c>
      <c r="C11" s="163" t="s">
        <v>161</v>
      </c>
      <c r="D11" s="214" t="s">
        <v>240</v>
      </c>
      <c r="E11" s="188" t="s">
        <v>175</v>
      </c>
      <c r="F11" s="188" t="s">
        <v>176</v>
      </c>
      <c r="G11" s="214" t="s">
        <v>152</v>
      </c>
      <c r="H11" s="215" t="s">
        <v>177</v>
      </c>
      <c r="I11" s="216" t="s">
        <v>177</v>
      </c>
      <c r="J11" s="214" t="s">
        <v>239</v>
      </c>
      <c r="K11" s="188" t="s">
        <v>168</v>
      </c>
      <c r="L11" s="188" t="s">
        <v>241</v>
      </c>
      <c r="M11" s="217" t="s">
        <v>178</v>
      </c>
      <c r="N11" s="188" t="s">
        <v>242</v>
      </c>
      <c r="O11" s="217" t="s">
        <v>243</v>
      </c>
      <c r="P11" s="214" t="s">
        <v>239</v>
      </c>
      <c r="Q11" s="188" t="s">
        <v>244</v>
      </c>
      <c r="R11" s="188" t="s">
        <v>244</v>
      </c>
      <c r="S11" s="188" t="s">
        <v>242</v>
      </c>
      <c r="T11" s="217" t="s">
        <v>243</v>
      </c>
      <c r="U11" s="214" t="s">
        <v>239</v>
      </c>
      <c r="V11" s="188" t="s">
        <v>244</v>
      </c>
      <c r="W11" s="188" t="s">
        <v>244</v>
      </c>
      <c r="X11" s="234" t="s">
        <v>245</v>
      </c>
      <c r="Y11" s="555" t="s">
        <v>115</v>
      </c>
      <c r="Z11" s="125" t="s">
        <v>200</v>
      </c>
      <c r="AA11" s="125" t="s">
        <v>179</v>
      </c>
      <c r="AB11" s="125" t="s">
        <v>179</v>
      </c>
      <c r="AC11" s="125" t="s">
        <v>27</v>
      </c>
      <c r="AD11" s="164" t="s">
        <v>170</v>
      </c>
      <c r="AE11" s="164" t="s">
        <v>171</v>
      </c>
      <c r="AF11" s="164" t="s">
        <v>111</v>
      </c>
    </row>
    <row r="12" spans="1:32">
      <c r="A12" s="36"/>
      <c r="B12" s="31"/>
      <c r="C12" s="31"/>
      <c r="D12" s="31"/>
      <c r="E12" s="31"/>
      <c r="F12" s="31"/>
      <c r="G12" s="31"/>
      <c r="H12" s="31"/>
      <c r="I12" s="31"/>
      <c r="J12" s="31"/>
      <c r="K12" s="31"/>
      <c r="L12" s="31"/>
      <c r="M12" s="31"/>
      <c r="N12" s="31"/>
      <c r="O12" s="31"/>
      <c r="P12" s="31"/>
      <c r="Q12" s="31"/>
      <c r="R12" s="31"/>
      <c r="S12" s="31"/>
      <c r="T12" s="31"/>
      <c r="U12" s="31"/>
      <c r="V12" s="31"/>
      <c r="W12" s="31"/>
      <c r="X12" s="46"/>
      <c r="Y12" s="46"/>
      <c r="Z12" s="123"/>
      <c r="AA12" s="123"/>
      <c r="AB12" s="123"/>
      <c r="AC12" s="123"/>
      <c r="AD12" s="36"/>
      <c r="AE12" s="46"/>
    </row>
    <row r="13" spans="1:32" ht="15.75">
      <c r="A13" s="134">
        <v>1962</v>
      </c>
      <c r="B13" s="671">
        <f t="shared" ref="B13:B59" si="0">A13+$H$4</f>
        <v>1968</v>
      </c>
      <c r="C13" s="458">
        <f>VLOOKUP($A13,'Brd Tbl'!$A$8:$AX$64,23)</f>
        <v>13.237120983130074</v>
      </c>
      <c r="D13" s="458">
        <f>VLOOKUP($A13,'Brd Tbl'!$A$8:$AX$64,34)</f>
        <v>10.236123333560183</v>
      </c>
      <c r="E13" s="7">
        <v>41</v>
      </c>
      <c r="F13" s="7">
        <v>39</v>
      </c>
      <c r="G13" s="576">
        <v>1.8989269748751489</v>
      </c>
      <c r="H13" s="576">
        <v>0.6908465749652245</v>
      </c>
      <c r="I13" s="577">
        <v>0.22163440838367754</v>
      </c>
      <c r="J13" s="7">
        <v>11.061706838683376</v>
      </c>
      <c r="K13" s="7">
        <v>0.66759687854031335</v>
      </c>
      <c r="L13" s="7">
        <v>0.19944215520944042</v>
      </c>
      <c r="M13" s="576">
        <v>0.4702698967264014</v>
      </c>
      <c r="N13" s="440">
        <f t="shared" ref="N13:N59" si="1">D13-J13</f>
        <v>-0.82558350512319301</v>
      </c>
      <c r="O13" s="440">
        <f t="shared" ref="O13:O59" si="2">N13^2</f>
        <v>0.68158812393149726</v>
      </c>
      <c r="P13" s="465">
        <f t="shared" ref="P13:P59" si="3">J13</f>
        <v>11.061706838683376</v>
      </c>
      <c r="Q13" s="440">
        <f t="shared" ref="Q13:Q38" si="4">$P13-SQRT($O$63)*$Q$63</f>
        <v>10.187799977035262</v>
      </c>
      <c r="R13" s="440">
        <f t="shared" ref="R13:R59" si="5">$P13+SQRT($O$63)*$Q$63</f>
        <v>11.935613700331491</v>
      </c>
      <c r="S13" s="466">
        <f t="shared" ref="S13:S24" si="6">EXP(D13)-U13</f>
        <v>-35792.37440825221</v>
      </c>
      <c r="T13" s="440">
        <f t="shared" ref="T13:T59" si="7">S13^2</f>
        <v>1281094065.7805078</v>
      </c>
      <c r="U13" s="466">
        <f t="shared" ref="U13:U59" si="8">EXP(P13)</f>
        <v>63685.159445755889</v>
      </c>
      <c r="V13" s="467">
        <f t="shared" ref="V13:V59" si="9">EXP(Q13)</f>
        <v>26576.960611722399</v>
      </c>
      <c r="W13" s="467">
        <f t="shared" ref="W13:W59" si="10">EXP(R13)</f>
        <v>152605.84507328668</v>
      </c>
      <c r="X13" s="468">
        <f t="shared" ref="X13:X59" si="11">(+U13-EXP(D13))/(EXP(D13))</f>
        <v>1.2832126429873179</v>
      </c>
      <c r="Y13" s="468">
        <f t="shared" ref="Y13:Y59" si="12">ABS(X13)</f>
        <v>1.2832126429873179</v>
      </c>
      <c r="Z13" s="517">
        <f t="shared" ref="Z13:Z59" si="13">C13</f>
        <v>13.237120983130074</v>
      </c>
      <c r="AA13" s="471">
        <f t="shared" ref="AA13:AA59" si="14">(+G$61+H$61*C13)</f>
        <v>11.001137768171459</v>
      </c>
      <c r="AB13" s="473">
        <f t="shared" ref="AB13:AB59" si="15">D13</f>
        <v>10.236123333560183</v>
      </c>
      <c r="AC13" s="801">
        <f t="shared" ref="AC13:AC44" si="16">B13-1900</f>
        <v>68</v>
      </c>
      <c r="AD13" s="435">
        <f t="shared" ref="AD13:AD59" si="17">AA13-SQRT($O$63)*$Q$63</f>
        <v>10.127230906523344</v>
      </c>
      <c r="AE13" s="441">
        <f t="shared" ref="AE13:AE59" si="18">AA13+SQRT($O$63)*$Q$63</f>
        <v>11.875044629819573</v>
      </c>
    </row>
    <row r="14" spans="1:32" ht="15.75">
      <c r="A14" s="134">
        <v>1963</v>
      </c>
      <c r="B14" s="671">
        <f t="shared" si="0"/>
        <v>1969</v>
      </c>
      <c r="C14" s="458">
        <f>VLOOKUP($A14,'Brd Tbl'!$A$8:$AX$64,23)</f>
        <v>13.106071709770401</v>
      </c>
      <c r="D14" s="458">
        <f>VLOOKUP($A14,'Brd Tbl'!$A$8:$AX$64,34)</f>
        <v>9.1614112184967418</v>
      </c>
      <c r="E14" s="7">
        <v>41</v>
      </c>
      <c r="F14" s="7">
        <v>39</v>
      </c>
      <c r="G14" s="576">
        <v>3.0917267605580339</v>
      </c>
      <c r="H14" s="576">
        <v>0.60601361616682625</v>
      </c>
      <c r="I14" s="577">
        <v>0.20577567193282378</v>
      </c>
      <c r="J14" s="7">
        <v>11.045322346577858</v>
      </c>
      <c r="K14" s="7">
        <v>0.61428407579302635</v>
      </c>
      <c r="L14" s="7">
        <v>0.18192939942019851</v>
      </c>
      <c r="M14" s="576">
        <v>0.40026321814144389</v>
      </c>
      <c r="N14" s="440">
        <f t="shared" si="1"/>
        <v>-1.8839111280811167</v>
      </c>
      <c r="O14" s="440">
        <f t="shared" si="2"/>
        <v>3.5491211385078656</v>
      </c>
      <c r="P14" s="465">
        <f t="shared" si="3"/>
        <v>11.045322346577858</v>
      </c>
      <c r="Q14" s="440">
        <f t="shared" si="4"/>
        <v>10.171415484929744</v>
      </c>
      <c r="R14" s="440">
        <f t="shared" si="5"/>
        <v>11.919229208225973</v>
      </c>
      <c r="S14" s="466">
        <f t="shared" si="6"/>
        <v>-53127.7262410685</v>
      </c>
      <c r="T14" s="440">
        <f t="shared" si="7"/>
        <v>2822555295.5459185</v>
      </c>
      <c r="U14" s="466">
        <f t="shared" si="8"/>
        <v>62650.21214915</v>
      </c>
      <c r="V14" s="467">
        <f t="shared" si="9"/>
        <v>26145.058520615421</v>
      </c>
      <c r="W14" s="467">
        <f t="shared" si="10"/>
        <v>150125.8480350539</v>
      </c>
      <c r="X14" s="468">
        <f t="shared" si="11"/>
        <v>5.5791866487279638</v>
      </c>
      <c r="Y14" s="468">
        <f t="shared" si="12"/>
        <v>5.5791866487279638</v>
      </c>
      <c r="Z14" s="517">
        <f t="shared" si="13"/>
        <v>13.106071709770401</v>
      </c>
      <c r="AA14" s="471">
        <f t="shared" si="14"/>
        <v>10.904847138014173</v>
      </c>
      <c r="AB14" s="473">
        <f t="shared" si="15"/>
        <v>9.1614112184967418</v>
      </c>
      <c r="AC14" s="801">
        <f t="shared" si="16"/>
        <v>69</v>
      </c>
      <c r="AD14" s="435">
        <f t="shared" si="17"/>
        <v>10.030940276366058</v>
      </c>
      <c r="AE14" s="441">
        <f t="shared" si="18"/>
        <v>11.778753999662287</v>
      </c>
    </row>
    <row r="15" spans="1:32" ht="15.75">
      <c r="A15" s="134">
        <v>1964</v>
      </c>
      <c r="B15" s="671">
        <f t="shared" si="0"/>
        <v>1970</v>
      </c>
      <c r="C15" s="458">
        <f>VLOOKUP($A15,'Brd Tbl'!$A$8:$AX$64,23)</f>
        <v>13.636544025217798</v>
      </c>
      <c r="D15" s="458">
        <f>VLOOKUP($A15,'Brd Tbl'!$A$8:$AX$64,34)</f>
        <v>10.120788143584148</v>
      </c>
      <c r="E15" s="7">
        <v>41</v>
      </c>
      <c r="F15" s="7">
        <v>39</v>
      </c>
      <c r="G15" s="576">
        <v>1.4913775033110035</v>
      </c>
      <c r="H15" s="576">
        <v>0.72109068699251866</v>
      </c>
      <c r="I15" s="577">
        <v>0.21407247241487629</v>
      </c>
      <c r="J15" s="7">
        <v>11.337779850263368</v>
      </c>
      <c r="K15" s="7">
        <v>0.65341847208503689</v>
      </c>
      <c r="L15" s="7">
        <v>0.22536667322473544</v>
      </c>
      <c r="M15" s="576">
        <v>0.45242511732605234</v>
      </c>
      <c r="N15" s="440">
        <f t="shared" si="1"/>
        <v>-1.2169917066792202</v>
      </c>
      <c r="O15" s="440">
        <f t="shared" si="2"/>
        <v>1.4810688141260011</v>
      </c>
      <c r="P15" s="465">
        <f t="shared" si="3"/>
        <v>11.337779850263368</v>
      </c>
      <c r="Q15" s="440">
        <f t="shared" si="4"/>
        <v>10.463872988615254</v>
      </c>
      <c r="R15" s="440">
        <f t="shared" si="5"/>
        <v>12.211686711911483</v>
      </c>
      <c r="S15" s="466">
        <f t="shared" si="6"/>
        <v>-59079.127322354034</v>
      </c>
      <c r="T15" s="440">
        <f t="shared" si="7"/>
        <v>3490343285.1709189</v>
      </c>
      <c r="U15" s="466">
        <f t="shared" si="8"/>
        <v>83933.479238054802</v>
      </c>
      <c r="V15" s="467">
        <f t="shared" si="9"/>
        <v>35026.948053959226</v>
      </c>
      <c r="W15" s="467">
        <f t="shared" si="10"/>
        <v>201125.9709567723</v>
      </c>
      <c r="X15" s="468">
        <f t="shared" si="11"/>
        <v>2.3770133907628908</v>
      </c>
      <c r="Y15" s="468">
        <f t="shared" si="12"/>
        <v>2.3770133907628908</v>
      </c>
      <c r="Z15" s="517">
        <f t="shared" si="13"/>
        <v>13.636544025217798</v>
      </c>
      <c r="AA15" s="471">
        <f t="shared" si="14"/>
        <v>11.294620482237406</v>
      </c>
      <c r="AB15" s="473">
        <f t="shared" si="15"/>
        <v>10.120788143584148</v>
      </c>
      <c r="AC15" s="801">
        <f t="shared" si="16"/>
        <v>70</v>
      </c>
      <c r="AD15" s="435">
        <f t="shared" si="17"/>
        <v>10.420713620589291</v>
      </c>
      <c r="AE15" s="441">
        <f t="shared" si="18"/>
        <v>12.16852734388552</v>
      </c>
    </row>
    <row r="16" spans="1:32" ht="15.75">
      <c r="A16" s="134">
        <v>1965</v>
      </c>
      <c r="B16" s="671">
        <f t="shared" si="0"/>
        <v>1971</v>
      </c>
      <c r="C16" s="458">
        <f>VLOOKUP($A16,'Brd Tbl'!$A$8:$AX$64,23)</f>
        <v>13.934935302361204</v>
      </c>
      <c r="D16" s="458">
        <f>VLOOKUP($A16,'Brd Tbl'!$A$8:$AX$64,34)</f>
        <v>12.398763016885381</v>
      </c>
      <c r="E16" s="7">
        <v>41</v>
      </c>
      <c r="F16" s="7">
        <v>39</v>
      </c>
      <c r="G16" s="576">
        <v>1.5488209539190478</v>
      </c>
      <c r="H16" s="576">
        <v>0.71343232287523806</v>
      </c>
      <c r="I16" s="577">
        <v>0.21910053561109366</v>
      </c>
      <c r="J16" s="7">
        <v>11.538737834433434</v>
      </c>
      <c r="K16" s="7">
        <v>0.66707012313245462</v>
      </c>
      <c r="L16" s="7">
        <v>0.21375333298496324</v>
      </c>
      <c r="M16" s="576">
        <v>0.46992834753581714</v>
      </c>
      <c r="N16" s="440">
        <f t="shared" si="1"/>
        <v>0.86002518245194715</v>
      </c>
      <c r="O16" s="440">
        <f t="shared" si="2"/>
        <v>0.739643314451505</v>
      </c>
      <c r="P16" s="465">
        <f t="shared" si="3"/>
        <v>11.538737834433434</v>
      </c>
      <c r="Q16" s="440">
        <f t="shared" si="4"/>
        <v>10.664830972785319</v>
      </c>
      <c r="R16" s="440">
        <f t="shared" si="5"/>
        <v>12.412644696081548</v>
      </c>
      <c r="S16" s="466">
        <f t="shared" si="6"/>
        <v>139886.6223158394</v>
      </c>
      <c r="T16" s="440">
        <f t="shared" si="7"/>
        <v>19568267102.934296</v>
      </c>
      <c r="U16" s="466">
        <f t="shared" si="8"/>
        <v>102614.83936354944</v>
      </c>
      <c r="V16" s="467">
        <f t="shared" si="9"/>
        <v>42823.015089821216</v>
      </c>
      <c r="W16" s="467">
        <f t="shared" si="10"/>
        <v>245891.26280624571</v>
      </c>
      <c r="X16" s="468">
        <f t="shared" si="11"/>
        <v>-0.57684857380688082</v>
      </c>
      <c r="Y16" s="468">
        <f t="shared" si="12"/>
        <v>0.57684857380688082</v>
      </c>
      <c r="Z16" s="517">
        <f t="shared" si="13"/>
        <v>13.934935302361204</v>
      </c>
      <c r="AA16" s="471">
        <f t="shared" si="14"/>
        <v>11.51386842900563</v>
      </c>
      <c r="AB16" s="473">
        <f t="shared" si="15"/>
        <v>12.398763016885381</v>
      </c>
      <c r="AC16" s="801">
        <f t="shared" si="16"/>
        <v>71</v>
      </c>
      <c r="AD16" s="435">
        <f t="shared" si="17"/>
        <v>10.639961567357515</v>
      </c>
      <c r="AE16" s="441">
        <f t="shared" si="18"/>
        <v>12.387775290653744</v>
      </c>
    </row>
    <row r="17" spans="1:31" ht="15.75">
      <c r="A17" s="134">
        <v>1966</v>
      </c>
      <c r="B17" s="671">
        <f t="shared" si="0"/>
        <v>1972</v>
      </c>
      <c r="C17" s="458">
        <f>VLOOKUP($A17,'Brd Tbl'!$A$8:$AX$64,23)</f>
        <v>13.695125080202772</v>
      </c>
      <c r="D17" s="458">
        <f>VLOOKUP($A17,'Brd Tbl'!$A$8:$AX$64,34)</f>
        <v>12.543705480093045</v>
      </c>
      <c r="E17" s="7">
        <v>41</v>
      </c>
      <c r="F17" s="7">
        <v>39</v>
      </c>
      <c r="G17" s="576">
        <v>1.0578229713545841</v>
      </c>
      <c r="H17" s="576">
        <v>0.74836081066489901</v>
      </c>
      <c r="I17" s="577">
        <v>0.21288433588997457</v>
      </c>
      <c r="J17" s="7">
        <v>11.281905000933543</v>
      </c>
      <c r="K17" s="7">
        <v>0.64984465838868288</v>
      </c>
      <c r="L17" s="7">
        <v>0.24061894175288814</v>
      </c>
      <c r="M17" s="576">
        <v>0.44788715907502863</v>
      </c>
      <c r="N17" s="440">
        <f t="shared" si="1"/>
        <v>1.2618004791595023</v>
      </c>
      <c r="O17" s="440">
        <f t="shared" si="2"/>
        <v>1.5921404492071496</v>
      </c>
      <c r="P17" s="465">
        <f t="shared" si="3"/>
        <v>11.281905000933543</v>
      </c>
      <c r="Q17" s="440">
        <f t="shared" si="4"/>
        <v>10.407998139285429</v>
      </c>
      <c r="R17" s="440">
        <f t="shared" si="5"/>
        <v>12.155811862581658</v>
      </c>
      <c r="S17" s="466">
        <f t="shared" si="6"/>
        <v>200952.83376611263</v>
      </c>
      <c r="T17" s="440">
        <f t="shared" si="7"/>
        <v>40382041398.630898</v>
      </c>
      <c r="U17" s="466">
        <f t="shared" si="8"/>
        <v>79372.322308788993</v>
      </c>
      <c r="V17" s="467">
        <f t="shared" si="9"/>
        <v>33123.495364071037</v>
      </c>
      <c r="W17" s="467">
        <f t="shared" si="10"/>
        <v>190196.27848587011</v>
      </c>
      <c r="X17" s="468">
        <f t="shared" si="11"/>
        <v>-0.7168562271750557</v>
      </c>
      <c r="Y17" s="468">
        <f t="shared" si="12"/>
        <v>0.7168562271750557</v>
      </c>
      <c r="Z17" s="517">
        <f t="shared" si="13"/>
        <v>13.695125080202772</v>
      </c>
      <c r="AA17" s="471">
        <f t="shared" si="14"/>
        <v>11.337663885341978</v>
      </c>
      <c r="AB17" s="473">
        <f t="shared" si="15"/>
        <v>12.543705480093045</v>
      </c>
      <c r="AC17" s="801">
        <f t="shared" si="16"/>
        <v>72</v>
      </c>
      <c r="AD17" s="435">
        <f t="shared" si="17"/>
        <v>10.463757023693864</v>
      </c>
      <c r="AE17" s="441">
        <f t="shared" si="18"/>
        <v>12.211570746990093</v>
      </c>
    </row>
    <row r="18" spans="1:31" ht="15.75">
      <c r="A18" s="134">
        <v>1967</v>
      </c>
      <c r="B18" s="671">
        <f t="shared" si="0"/>
        <v>1973</v>
      </c>
      <c r="C18" s="458">
        <f>VLOOKUP($A18,'Brd Tbl'!$A$8:$AX$64,23)</f>
        <v>13.469993411243443</v>
      </c>
      <c r="D18" s="458">
        <f>VLOOKUP($A18,'Brd Tbl'!$A$8:$AX$64,34)</f>
        <v>10.848894926054982</v>
      </c>
      <c r="E18" s="7">
        <v>41</v>
      </c>
      <c r="F18" s="7">
        <v>39</v>
      </c>
      <c r="G18" s="576">
        <v>1.4274902342969931</v>
      </c>
      <c r="H18" s="576">
        <v>0.72426102768089207</v>
      </c>
      <c r="I18" s="577">
        <v>0.22294457198774026</v>
      </c>
      <c r="J18" s="7">
        <v>11.182934901036841</v>
      </c>
      <c r="K18" s="7">
        <v>0.67771505171584145</v>
      </c>
      <c r="L18" s="7">
        <v>0.21297180472475749</v>
      </c>
      <c r="M18" s="576">
        <v>0.4839576688228609</v>
      </c>
      <c r="N18" s="440">
        <f t="shared" si="1"/>
        <v>-0.33403997498185944</v>
      </c>
      <c r="O18" s="440">
        <f t="shared" si="2"/>
        <v>0.11158270488588129</v>
      </c>
      <c r="P18" s="465">
        <f t="shared" si="3"/>
        <v>11.182934901036841</v>
      </c>
      <c r="Q18" s="440">
        <f t="shared" si="4"/>
        <v>10.309028039388727</v>
      </c>
      <c r="R18" s="440">
        <f t="shared" si="5"/>
        <v>12.056841762684956</v>
      </c>
      <c r="S18" s="466">
        <f t="shared" si="6"/>
        <v>-20415.817964817194</v>
      </c>
      <c r="T18" s="440">
        <f t="shared" si="7"/>
        <v>416805623.17255247</v>
      </c>
      <c r="U18" s="466">
        <f t="shared" si="8"/>
        <v>71893.051727617058</v>
      </c>
      <c r="V18" s="467">
        <f t="shared" si="9"/>
        <v>30002.261447564491</v>
      </c>
      <c r="W18" s="467">
        <f t="shared" si="10"/>
        <v>172274.04326647506</v>
      </c>
      <c r="X18" s="468">
        <f t="shared" si="11"/>
        <v>0.39659897147718781</v>
      </c>
      <c r="Y18" s="468">
        <f t="shared" si="12"/>
        <v>0.39659897147718781</v>
      </c>
      <c r="Z18" s="517">
        <f t="shared" si="13"/>
        <v>13.469993411243443</v>
      </c>
      <c r="AA18" s="471">
        <f t="shared" si="14"/>
        <v>11.172244652432855</v>
      </c>
      <c r="AB18" s="473">
        <f t="shared" si="15"/>
        <v>10.848894926054982</v>
      </c>
      <c r="AC18" s="801">
        <f t="shared" si="16"/>
        <v>73</v>
      </c>
      <c r="AD18" s="435">
        <f t="shared" si="17"/>
        <v>10.298337790784741</v>
      </c>
      <c r="AE18" s="441">
        <f t="shared" si="18"/>
        <v>12.04615151408097</v>
      </c>
    </row>
    <row r="19" spans="1:31" ht="15.75">
      <c r="A19" s="134">
        <v>1968</v>
      </c>
      <c r="B19" s="671">
        <f t="shared" si="0"/>
        <v>1974</v>
      </c>
      <c r="C19" s="458">
        <f>VLOOKUP($A19,'Brd Tbl'!$A$8:$AX$64,23)</f>
        <v>13.292926891590582</v>
      </c>
      <c r="D19" s="458">
        <f>VLOOKUP($A19,'Brd Tbl'!$A$8:$AX$64,34)</f>
        <v>11.111108922927762</v>
      </c>
      <c r="E19" s="7">
        <v>41</v>
      </c>
      <c r="F19" s="7">
        <v>39</v>
      </c>
      <c r="G19" s="576">
        <v>1.2269524402075955</v>
      </c>
      <c r="H19" s="576">
        <v>0.73813792549420687</v>
      </c>
      <c r="I19" s="577">
        <v>0.22528361688031995</v>
      </c>
      <c r="J19" s="7">
        <v>11.038629258631504</v>
      </c>
      <c r="K19" s="7">
        <v>0.67967804942803123</v>
      </c>
      <c r="L19" s="7">
        <v>0.21584934002417142</v>
      </c>
      <c r="M19" s="576">
        <v>0.4865771436727877</v>
      </c>
      <c r="N19" s="440">
        <f t="shared" si="1"/>
        <v>7.2479664296258406E-2</v>
      </c>
      <c r="O19" s="440">
        <f t="shared" si="2"/>
        <v>5.2533017364983156E-3</v>
      </c>
      <c r="P19" s="465">
        <f t="shared" si="3"/>
        <v>11.038629258631504</v>
      </c>
      <c r="Q19" s="440">
        <f t="shared" si="4"/>
        <v>10.16472239698339</v>
      </c>
      <c r="R19" s="440">
        <f t="shared" si="5"/>
        <v>11.912536120279619</v>
      </c>
      <c r="S19" s="466">
        <f t="shared" si="6"/>
        <v>4678.0597510442531</v>
      </c>
      <c r="T19" s="440">
        <f t="shared" si="7"/>
        <v>21884243.034340218</v>
      </c>
      <c r="U19" s="466">
        <f t="shared" si="8"/>
        <v>62232.288927970956</v>
      </c>
      <c r="V19" s="467">
        <f t="shared" si="9"/>
        <v>25970.651655897429</v>
      </c>
      <c r="W19" s="467">
        <f t="shared" si="10"/>
        <v>149124.39766735717</v>
      </c>
      <c r="X19" s="468">
        <f t="shared" si="11"/>
        <v>-6.9915339605925733E-2</v>
      </c>
      <c r="Y19" s="468">
        <f t="shared" si="12"/>
        <v>6.9915339605925733E-2</v>
      </c>
      <c r="Z19" s="517">
        <f t="shared" si="13"/>
        <v>13.292926891590582</v>
      </c>
      <c r="AA19" s="471">
        <f t="shared" si="14"/>
        <v>11.042142086275643</v>
      </c>
      <c r="AB19" s="473">
        <f t="shared" si="15"/>
        <v>11.111108922927762</v>
      </c>
      <c r="AC19" s="801">
        <f t="shared" si="16"/>
        <v>74</v>
      </c>
      <c r="AD19" s="435">
        <f t="shared" si="17"/>
        <v>10.168235224627528</v>
      </c>
      <c r="AE19" s="441">
        <f t="shared" si="18"/>
        <v>11.916048947923757</v>
      </c>
    </row>
    <row r="20" spans="1:31" ht="15.75">
      <c r="A20" s="134">
        <v>1969</v>
      </c>
      <c r="B20" s="671">
        <f t="shared" si="0"/>
        <v>1975</v>
      </c>
      <c r="C20" s="458">
        <f>VLOOKUP($A20,'Brd Tbl'!$A$8:$AX$64,23)</f>
        <v>13.366855574069275</v>
      </c>
      <c r="D20" s="458">
        <f>VLOOKUP($A20,'Brd Tbl'!$A$8:$AX$64,34)</f>
        <v>11.582377948203689</v>
      </c>
      <c r="E20" s="7">
        <v>41</v>
      </c>
      <c r="F20" s="7">
        <v>39</v>
      </c>
      <c r="G20" s="576">
        <v>0.94679151318838173</v>
      </c>
      <c r="H20" s="576">
        <v>0.75768850674807187</v>
      </c>
      <c r="I20" s="577">
        <v>0.2228506449582407</v>
      </c>
      <c r="J20" s="7">
        <v>11.07048243346787</v>
      </c>
      <c r="K20" s="7">
        <v>0.67460228277270917</v>
      </c>
      <c r="L20" s="7">
        <v>0.22863752452053387</v>
      </c>
      <c r="M20" s="576">
        <v>0.47975915835708505</v>
      </c>
      <c r="N20" s="440">
        <f t="shared" si="1"/>
        <v>0.51189551473581929</v>
      </c>
      <c r="O20" s="440">
        <f t="shared" si="2"/>
        <v>0.26203701800664936</v>
      </c>
      <c r="P20" s="465">
        <f t="shared" si="3"/>
        <v>11.07048243346787</v>
      </c>
      <c r="Q20" s="440">
        <f t="shared" si="4"/>
        <v>10.196575571819755</v>
      </c>
      <c r="R20" s="440">
        <f t="shared" si="5"/>
        <v>11.944389295115984</v>
      </c>
      <c r="S20" s="466">
        <f t="shared" si="6"/>
        <v>42945.618558071765</v>
      </c>
      <c r="T20" s="440">
        <f t="shared" si="7"/>
        <v>1844326153.335398</v>
      </c>
      <c r="U20" s="466">
        <f t="shared" si="8"/>
        <v>64246.494018803751</v>
      </c>
      <c r="V20" s="467">
        <f t="shared" si="9"/>
        <v>26811.215608769206</v>
      </c>
      <c r="W20" s="467">
        <f t="shared" si="10"/>
        <v>153950.94552736945</v>
      </c>
      <c r="X20" s="468">
        <f t="shared" si="11"/>
        <v>-0.40064159130432508</v>
      </c>
      <c r="Y20" s="468">
        <f t="shared" si="12"/>
        <v>0.40064159130432508</v>
      </c>
      <c r="Z20" s="517">
        <f t="shared" si="13"/>
        <v>13.366855574069275</v>
      </c>
      <c r="AA20" s="471">
        <f t="shared" si="14"/>
        <v>11.096462413585154</v>
      </c>
      <c r="AB20" s="473">
        <f t="shared" si="15"/>
        <v>11.582377948203689</v>
      </c>
      <c r="AC20" s="801">
        <f t="shared" si="16"/>
        <v>75</v>
      </c>
      <c r="AD20" s="435">
        <f t="shared" si="17"/>
        <v>10.22255555193704</v>
      </c>
      <c r="AE20" s="441">
        <f t="shared" si="18"/>
        <v>11.970369275233269</v>
      </c>
    </row>
    <row r="21" spans="1:31" ht="15.75">
      <c r="A21" s="134">
        <v>1970</v>
      </c>
      <c r="B21" s="671">
        <f t="shared" si="0"/>
        <v>1976</v>
      </c>
      <c r="C21" s="458">
        <f>VLOOKUP($A21,'Brd Tbl'!$A$8:$AX$64,23)</f>
        <v>12.755967055394713</v>
      </c>
      <c r="D21" s="458">
        <f>VLOOKUP($A21,'Brd Tbl'!$A$8:$AX$64,34)</f>
        <v>10.232866188291677</v>
      </c>
      <c r="E21" s="7">
        <v>41</v>
      </c>
      <c r="F21" s="7">
        <v>39</v>
      </c>
      <c r="G21" s="576">
        <v>2.0010964004551557</v>
      </c>
      <c r="H21" s="576">
        <v>0.68285361578130699</v>
      </c>
      <c r="I21" s="577">
        <v>0.23409134295790768</v>
      </c>
      <c r="J21" s="7">
        <v>10.725917867239518</v>
      </c>
      <c r="K21" s="7">
        <v>0.67577525299108965</v>
      </c>
      <c r="L21" s="7">
        <v>0.1791049369777743</v>
      </c>
      <c r="M21" s="576">
        <v>0.48079692669218771</v>
      </c>
      <c r="N21" s="440">
        <f t="shared" si="1"/>
        <v>-0.49305167894784141</v>
      </c>
      <c r="O21" s="440">
        <f t="shared" si="2"/>
        <v>0.24309995811328527</v>
      </c>
      <c r="P21" s="465">
        <f t="shared" si="3"/>
        <v>10.725917867239518</v>
      </c>
      <c r="Q21" s="440">
        <f t="shared" si="4"/>
        <v>9.8520110055914039</v>
      </c>
      <c r="R21" s="440">
        <f t="shared" si="5"/>
        <v>11.599824728887633</v>
      </c>
      <c r="S21" s="466">
        <f t="shared" si="6"/>
        <v>-17718.409566213828</v>
      </c>
      <c r="T21" s="440">
        <f t="shared" si="7"/>
        <v>313942037.55609769</v>
      </c>
      <c r="U21" s="466">
        <f t="shared" si="8"/>
        <v>45520.491547611171</v>
      </c>
      <c r="V21" s="467">
        <f t="shared" si="9"/>
        <v>18996.51852041846</v>
      </c>
      <c r="W21" s="467">
        <f t="shared" si="10"/>
        <v>109078.67925951385</v>
      </c>
      <c r="X21" s="468">
        <f t="shared" si="11"/>
        <v>0.63730513340941142</v>
      </c>
      <c r="Y21" s="468">
        <f t="shared" si="12"/>
        <v>0.63730513340941142</v>
      </c>
      <c r="Z21" s="517">
        <f t="shared" si="13"/>
        <v>12.755967055394713</v>
      </c>
      <c r="AA21" s="471">
        <f t="shared" si="14"/>
        <v>10.647601928433273</v>
      </c>
      <c r="AB21" s="473">
        <f t="shared" si="15"/>
        <v>10.232866188291677</v>
      </c>
      <c r="AC21" s="801">
        <f t="shared" si="16"/>
        <v>76</v>
      </c>
      <c r="AD21" s="435">
        <f t="shared" si="17"/>
        <v>9.7736950667851588</v>
      </c>
      <c r="AE21" s="441">
        <f t="shared" si="18"/>
        <v>11.521508790081388</v>
      </c>
    </row>
    <row r="22" spans="1:31" ht="15.75">
      <c r="A22" s="178">
        <v>1971</v>
      </c>
      <c r="B22" s="671">
        <f t="shared" si="0"/>
        <v>1977</v>
      </c>
      <c r="C22" s="458">
        <f>VLOOKUP($A22,'Brd Tbl'!$A$8:$AX$64,23)</f>
        <v>13.754613147674856</v>
      </c>
      <c r="D22" s="458">
        <f>VLOOKUP($A22,'Brd Tbl'!$A$8:$AX$64,34)</f>
        <v>11.343314071920092</v>
      </c>
      <c r="E22" s="7">
        <v>41</v>
      </c>
      <c r="F22" s="7">
        <v>39</v>
      </c>
      <c r="G22" s="576">
        <v>1.2763976209356418</v>
      </c>
      <c r="H22" s="576">
        <v>0.73473713818066122</v>
      </c>
      <c r="I22" s="577">
        <v>0.22254902217765174</v>
      </c>
      <c r="J22" s="7">
        <v>11.383642583142175</v>
      </c>
      <c r="K22" s="7">
        <v>0.67972275239545643</v>
      </c>
      <c r="L22" s="7">
        <v>0.21843141197261948</v>
      </c>
      <c r="M22" s="576">
        <v>0.48663900732031906</v>
      </c>
      <c r="N22" s="440">
        <f t="shared" si="1"/>
        <v>-4.0328511222082142E-2</v>
      </c>
      <c r="O22" s="440">
        <f t="shared" si="2"/>
        <v>1.6263888173896053E-3</v>
      </c>
      <c r="P22" s="465">
        <f t="shared" si="3"/>
        <v>11.383642583142175</v>
      </c>
      <c r="Q22" s="440">
        <f t="shared" si="4"/>
        <v>10.50973572149406</v>
      </c>
      <c r="R22" s="440">
        <f t="shared" si="5"/>
        <v>12.257549444790289</v>
      </c>
      <c r="S22" s="466">
        <f t="shared" si="6"/>
        <v>-3473.2620629870798</v>
      </c>
      <c r="T22" s="440">
        <f t="shared" si="7"/>
        <v>12063549.358185265</v>
      </c>
      <c r="U22" s="466">
        <f t="shared" si="8"/>
        <v>87872.535494876589</v>
      </c>
      <c r="V22" s="467">
        <f t="shared" si="9"/>
        <v>36670.786962364247</v>
      </c>
      <c r="W22" s="467">
        <f t="shared" si="10"/>
        <v>210564.95193907659</v>
      </c>
      <c r="X22" s="468">
        <f t="shared" si="11"/>
        <v>4.1152748379878104E-2</v>
      </c>
      <c r="Y22" s="468">
        <f t="shared" si="12"/>
        <v>4.1152748379878104E-2</v>
      </c>
      <c r="Z22" s="517">
        <f t="shared" si="13"/>
        <v>13.754613147674856</v>
      </c>
      <c r="AA22" s="471">
        <f t="shared" si="14"/>
        <v>11.381373730935742</v>
      </c>
      <c r="AB22" s="473">
        <f t="shared" si="15"/>
        <v>11.343314071920092</v>
      </c>
      <c r="AC22" s="801">
        <f t="shared" si="16"/>
        <v>77</v>
      </c>
      <c r="AD22" s="435">
        <f t="shared" si="17"/>
        <v>10.507466869287628</v>
      </c>
      <c r="AE22" s="441">
        <f t="shared" si="18"/>
        <v>12.255280592583857</v>
      </c>
    </row>
    <row r="23" spans="1:31" ht="15.75">
      <c r="A23" s="134">
        <v>1972</v>
      </c>
      <c r="B23" s="671">
        <f t="shared" si="0"/>
        <v>1978</v>
      </c>
      <c r="C23" s="458">
        <f>VLOOKUP($A23,'Brd Tbl'!$A$8:$AX$64,23)</f>
        <v>13.648497293799361</v>
      </c>
      <c r="D23" s="458">
        <f>VLOOKUP($A23,'Brd Tbl'!$A$8:$AX$64,34)</f>
        <v>10.424623999335015</v>
      </c>
      <c r="E23" s="7">
        <v>41</v>
      </c>
      <c r="F23" s="7">
        <v>39</v>
      </c>
      <c r="G23" s="576">
        <v>1.4531241105357129</v>
      </c>
      <c r="H23" s="576">
        <v>0.72338052180491808</v>
      </c>
      <c r="I23" s="577">
        <v>0.21777235126498407</v>
      </c>
      <c r="J23" s="7">
        <v>11.323490716447294</v>
      </c>
      <c r="K23" s="7">
        <v>0.66462854472835042</v>
      </c>
      <c r="L23" s="7">
        <v>0.22052812427843776</v>
      </c>
      <c r="M23" s="576">
        <v>0.46683594082691637</v>
      </c>
      <c r="N23" s="440">
        <f t="shared" si="1"/>
        <v>-0.89886671711227883</v>
      </c>
      <c r="O23" s="440">
        <f t="shared" si="2"/>
        <v>0.80796137513220545</v>
      </c>
      <c r="P23" s="465">
        <f t="shared" si="3"/>
        <v>11.323490716447294</v>
      </c>
      <c r="Q23" s="440">
        <f t="shared" si="4"/>
        <v>10.44958385479918</v>
      </c>
      <c r="R23" s="440">
        <f t="shared" si="5"/>
        <v>12.197397578095408</v>
      </c>
      <c r="S23" s="466">
        <f t="shared" si="6"/>
        <v>-49063.865170523401</v>
      </c>
      <c r="T23" s="440">
        <f t="shared" si="7"/>
        <v>2407262865.4712992</v>
      </c>
      <c r="U23" s="466">
        <f t="shared" si="8"/>
        <v>82742.670595073112</v>
      </c>
      <c r="V23" s="467">
        <f t="shared" si="9"/>
        <v>34530.002224254909</v>
      </c>
      <c r="W23" s="467">
        <f t="shared" si="10"/>
        <v>198272.49047773579</v>
      </c>
      <c r="X23" s="468">
        <f t="shared" si="11"/>
        <v>1.4568172639151553</v>
      </c>
      <c r="Y23" s="468">
        <f t="shared" si="12"/>
        <v>1.4568172639151553</v>
      </c>
      <c r="Z23" s="517">
        <f t="shared" si="13"/>
        <v>13.648497293799361</v>
      </c>
      <c r="AA23" s="471">
        <f t="shared" si="14"/>
        <v>11.303403344855797</v>
      </c>
      <c r="AB23" s="473">
        <f t="shared" si="15"/>
        <v>10.424623999335015</v>
      </c>
      <c r="AC23" s="801">
        <f t="shared" si="16"/>
        <v>78</v>
      </c>
      <c r="AD23" s="435">
        <f t="shared" si="17"/>
        <v>10.429496483207682</v>
      </c>
      <c r="AE23" s="441">
        <f t="shared" si="18"/>
        <v>12.177310206503911</v>
      </c>
    </row>
    <row r="24" spans="1:31" ht="15.75">
      <c r="A24" s="134">
        <v>1973</v>
      </c>
      <c r="B24" s="671">
        <f t="shared" si="0"/>
        <v>1979</v>
      </c>
      <c r="C24" s="458">
        <f>VLOOKUP($A24,'Brd Tbl'!$A$8:$AX$64,23)</f>
        <v>12.602715502852924</v>
      </c>
      <c r="D24" s="458">
        <f>VLOOKUP($A24,'Brd Tbl'!$A$8:$AX$64,34)</f>
        <v>11.333201803339398</v>
      </c>
      <c r="E24" s="7">
        <v>41</v>
      </c>
      <c r="F24" s="7">
        <v>39</v>
      </c>
      <c r="G24" s="576">
        <v>-0.10081226011081412</v>
      </c>
      <c r="H24" s="576">
        <v>0.83336097648357155</v>
      </c>
      <c r="I24" s="577">
        <v>0.23763564909415746</v>
      </c>
      <c r="J24" s="7">
        <v>10.400142712088632</v>
      </c>
      <c r="K24" s="7">
        <v>0.66985774757345018</v>
      </c>
      <c r="L24" s="7">
        <v>0.23974007089168761</v>
      </c>
      <c r="M24" s="576">
        <v>0.47140026505571786</v>
      </c>
      <c r="N24" s="440">
        <f t="shared" si="1"/>
        <v>0.93305909125076525</v>
      </c>
      <c r="O24" s="440">
        <f t="shared" si="2"/>
        <v>0.87059926776570384</v>
      </c>
      <c r="P24" s="465">
        <f t="shared" si="3"/>
        <v>10.400142712088632</v>
      </c>
      <c r="Q24" s="440">
        <f t="shared" si="4"/>
        <v>9.5262358504405178</v>
      </c>
      <c r="R24" s="440">
        <f t="shared" si="5"/>
        <v>11.274049573736747</v>
      </c>
      <c r="S24" s="466">
        <f t="shared" si="6"/>
        <v>50685.790576514577</v>
      </c>
      <c r="T24" s="440">
        <f t="shared" si="7"/>
        <v>2569049366.3662939</v>
      </c>
      <c r="U24" s="466">
        <f t="shared" si="8"/>
        <v>32864.315474892639</v>
      </c>
      <c r="V24" s="467">
        <f t="shared" si="9"/>
        <v>13714.86898217459</v>
      </c>
      <c r="W24" s="467">
        <f t="shared" si="10"/>
        <v>78751.261352699847</v>
      </c>
      <c r="X24" s="468">
        <f t="shared" si="11"/>
        <v>-0.60665142118824267</v>
      </c>
      <c r="Y24" s="468">
        <f t="shared" si="12"/>
        <v>0.60665142118824267</v>
      </c>
      <c r="Z24" s="517">
        <f t="shared" si="13"/>
        <v>12.602715502852924</v>
      </c>
      <c r="AA24" s="471">
        <f t="shared" si="14"/>
        <v>10.534997804896237</v>
      </c>
      <c r="AB24" s="473">
        <f t="shared" si="15"/>
        <v>11.333201803339398</v>
      </c>
      <c r="AC24" s="801">
        <f t="shared" si="16"/>
        <v>79</v>
      </c>
      <c r="AD24" s="435">
        <f t="shared" si="17"/>
        <v>9.6610909432481229</v>
      </c>
      <c r="AE24" s="441">
        <f t="shared" si="18"/>
        <v>11.408904666544352</v>
      </c>
    </row>
    <row r="25" spans="1:31" ht="15.75">
      <c r="A25" s="134">
        <v>1974</v>
      </c>
      <c r="B25" s="671">
        <f t="shared" si="0"/>
        <v>1980</v>
      </c>
      <c r="C25" s="458">
        <f>VLOOKUP($A25,'Brd Tbl'!$A$8:$AX$64,23)</f>
        <v>13.000725318656022</v>
      </c>
      <c r="D25" s="458">
        <f>VLOOKUP($A25,'Brd Tbl'!$A$8:$AX$64,34)</f>
        <v>10.311052429506699</v>
      </c>
      <c r="E25" s="7">
        <v>41</v>
      </c>
      <c r="F25" s="7">
        <v>39</v>
      </c>
      <c r="G25" s="576">
        <v>1.9995247206898235</v>
      </c>
      <c r="H25" s="576">
        <v>0.68303664943804332</v>
      </c>
      <c r="I25" s="577">
        <v>0.23176000034363325</v>
      </c>
      <c r="J25" s="7">
        <v>10.779301605447314</v>
      </c>
      <c r="K25" s="7">
        <v>0.67501797954755849</v>
      </c>
      <c r="L25" s="7">
        <v>0.18214688674140991</v>
      </c>
      <c r="M25" s="576">
        <v>0.47980459461835079</v>
      </c>
      <c r="N25" s="440">
        <f t="shared" si="1"/>
        <v>-0.4682491759406151</v>
      </c>
      <c r="O25" s="440">
        <f t="shared" si="2"/>
        <v>0.21925729076906511</v>
      </c>
      <c r="P25" s="465">
        <f t="shared" si="3"/>
        <v>10.779301605447314</v>
      </c>
      <c r="Q25" s="440">
        <f t="shared" si="4"/>
        <v>9.9053947437991994</v>
      </c>
      <c r="R25" s="440">
        <f t="shared" si="5"/>
        <v>11.653208467095428</v>
      </c>
      <c r="S25" s="466">
        <f>EXP(D25)*C25-U25</f>
        <v>342824.99750795169</v>
      </c>
      <c r="T25" s="440">
        <f t="shared" si="7"/>
        <v>117528978916.32709</v>
      </c>
      <c r="U25" s="466">
        <f t="shared" si="8"/>
        <v>48016.578008907178</v>
      </c>
      <c r="V25" s="467">
        <f t="shared" si="9"/>
        <v>20038.180222181516</v>
      </c>
      <c r="W25" s="467">
        <f t="shared" si="10"/>
        <v>115059.93748540423</v>
      </c>
      <c r="X25" s="468">
        <f t="shared" si="11"/>
        <v>0.59719533575745343</v>
      </c>
      <c r="Y25" s="468">
        <f t="shared" si="12"/>
        <v>0.59719533575745343</v>
      </c>
      <c r="Z25" s="517">
        <f t="shared" si="13"/>
        <v>13.000725318656022</v>
      </c>
      <c r="AA25" s="471">
        <f t="shared" si="14"/>
        <v>10.827442127477724</v>
      </c>
      <c r="AB25" s="473">
        <f t="shared" si="15"/>
        <v>10.311052429506699</v>
      </c>
      <c r="AC25" s="801">
        <f t="shared" si="16"/>
        <v>80</v>
      </c>
      <c r="AD25" s="435">
        <f t="shared" si="17"/>
        <v>9.9535352658296095</v>
      </c>
      <c r="AE25" s="441">
        <f t="shared" si="18"/>
        <v>11.701348989125838</v>
      </c>
    </row>
    <row r="26" spans="1:31" ht="15.75">
      <c r="A26" s="134">
        <v>1975</v>
      </c>
      <c r="B26" s="671">
        <f t="shared" si="0"/>
        <v>1981</v>
      </c>
      <c r="C26" s="458">
        <f>VLOOKUP($A26,'Brd Tbl'!$A$8:$AX$64,23)</f>
        <v>12.925948486164664</v>
      </c>
      <c r="D26" s="458">
        <f>VLOOKUP($A26,'Brd Tbl'!$A$8:$AX$64,34)</f>
        <v>11.107014176116621</v>
      </c>
      <c r="E26" s="7">
        <v>41</v>
      </c>
      <c r="F26" s="7">
        <v>39</v>
      </c>
      <c r="G26" s="576">
        <v>0.73785747205749708</v>
      </c>
      <c r="H26" s="576">
        <v>0.77311633528744184</v>
      </c>
      <c r="I26" s="577">
        <v>0.23270831783554591</v>
      </c>
      <c r="J26" s="7">
        <v>10.669572611994436</v>
      </c>
      <c r="K26" s="7">
        <v>0.67720518427796761</v>
      </c>
      <c r="L26" s="7">
        <v>0.22058264912785175</v>
      </c>
      <c r="M26" s="576">
        <v>0.4829674506470758</v>
      </c>
      <c r="N26" s="440">
        <f t="shared" si="1"/>
        <v>0.43744156412218516</v>
      </c>
      <c r="O26" s="440">
        <f t="shared" si="2"/>
        <v>0.19135512202166383</v>
      </c>
      <c r="P26" s="465">
        <f t="shared" si="3"/>
        <v>10.669572611994436</v>
      </c>
      <c r="Q26" s="440">
        <f t="shared" si="4"/>
        <v>9.7956657503463216</v>
      </c>
      <c r="R26" s="440">
        <f t="shared" si="5"/>
        <v>11.543479473642551</v>
      </c>
      <c r="S26" s="466">
        <f t="shared" ref="S26:S45" si="19">EXP(D26)-U26</f>
        <v>23610.379381587656</v>
      </c>
      <c r="T26" s="440">
        <f t="shared" si="7"/>
        <v>557450014.54249954</v>
      </c>
      <c r="U26" s="466">
        <f t="shared" si="8"/>
        <v>43026.548536971255</v>
      </c>
      <c r="V26" s="467">
        <f t="shared" si="9"/>
        <v>17955.751319103485</v>
      </c>
      <c r="W26" s="467">
        <f t="shared" si="10"/>
        <v>103102.55728674105</v>
      </c>
      <c r="X26" s="468">
        <f t="shared" si="11"/>
        <v>-0.35431374343132016</v>
      </c>
      <c r="Y26" s="468">
        <f t="shared" si="12"/>
        <v>0.35431374343132016</v>
      </c>
      <c r="Z26" s="517">
        <f t="shared" si="13"/>
        <v>12.925948486164664</v>
      </c>
      <c r="AA26" s="471">
        <f t="shared" si="14"/>
        <v>10.772498607859749</v>
      </c>
      <c r="AB26" s="473">
        <f t="shared" si="15"/>
        <v>11.107014176116621</v>
      </c>
      <c r="AC26" s="801">
        <f t="shared" si="16"/>
        <v>81</v>
      </c>
      <c r="AD26" s="435">
        <f t="shared" si="17"/>
        <v>9.8985917462116344</v>
      </c>
      <c r="AE26" s="441">
        <f t="shared" si="18"/>
        <v>11.646405469507863</v>
      </c>
    </row>
    <row r="27" spans="1:31" ht="15.75">
      <c r="A27" s="134">
        <v>1976</v>
      </c>
      <c r="B27" s="671">
        <f t="shared" si="0"/>
        <v>1982</v>
      </c>
      <c r="C27" s="458">
        <f>VLOOKUP($A27,'Brd Tbl'!$A$8:$AX$64,23)</f>
        <v>13.706895781055929</v>
      </c>
      <c r="D27" s="458">
        <f>VLOOKUP($A27,'Brd Tbl'!$A$8:$AX$64,34)</f>
        <v>11.250051004390706</v>
      </c>
      <c r="E27" s="7">
        <v>41</v>
      </c>
      <c r="F27" s="7">
        <v>39</v>
      </c>
      <c r="G27" s="576">
        <v>1.288991758763796</v>
      </c>
      <c r="H27" s="576">
        <v>0.73388262677866523</v>
      </c>
      <c r="I27" s="577">
        <v>0.22265559436654134</v>
      </c>
      <c r="J27" s="7">
        <v>11.312527148164165</v>
      </c>
      <c r="K27" s="7">
        <v>0.67964348771900274</v>
      </c>
      <c r="L27" s="7">
        <v>0.2178711356535904</v>
      </c>
      <c r="M27" s="576">
        <v>0.48653383190640359</v>
      </c>
      <c r="N27" s="440">
        <f t="shared" si="1"/>
        <v>-6.2476143773459114E-2</v>
      </c>
      <c r="O27" s="440">
        <f t="shared" si="2"/>
        <v>3.9032685408019342E-3</v>
      </c>
      <c r="P27" s="465">
        <f t="shared" si="3"/>
        <v>11.312527148164165</v>
      </c>
      <c r="Q27" s="440">
        <f t="shared" si="4"/>
        <v>10.43862028651605</v>
      </c>
      <c r="R27" s="440">
        <f t="shared" si="5"/>
        <v>12.186434009812279</v>
      </c>
      <c r="S27" s="466">
        <f t="shared" si="19"/>
        <v>-4956.6293017713178</v>
      </c>
      <c r="T27" s="440">
        <f t="shared" si="7"/>
        <v>24568174.035178021</v>
      </c>
      <c r="U27" s="466">
        <f t="shared" si="8"/>
        <v>81840.470379915423</v>
      </c>
      <c r="V27" s="467">
        <f t="shared" si="9"/>
        <v>34153.497873935165</v>
      </c>
      <c r="W27" s="467">
        <f t="shared" si="10"/>
        <v>196110.58922071356</v>
      </c>
      <c r="X27" s="468">
        <f t="shared" si="11"/>
        <v>6.4469064399805945E-2</v>
      </c>
      <c r="Y27" s="468">
        <f t="shared" si="12"/>
        <v>6.4469064399805945E-2</v>
      </c>
      <c r="Z27" s="517">
        <f t="shared" si="13"/>
        <v>13.706895781055929</v>
      </c>
      <c r="AA27" s="471">
        <f t="shared" si="14"/>
        <v>11.346312603289713</v>
      </c>
      <c r="AB27" s="473">
        <f t="shared" si="15"/>
        <v>11.250051004390706</v>
      </c>
      <c r="AC27" s="801">
        <f t="shared" si="16"/>
        <v>82</v>
      </c>
      <c r="AD27" s="435">
        <f t="shared" si="17"/>
        <v>10.472405741641598</v>
      </c>
      <c r="AE27" s="441">
        <f t="shared" si="18"/>
        <v>12.220219464937827</v>
      </c>
    </row>
    <row r="28" spans="1:31" ht="15.75">
      <c r="A28" s="134">
        <v>1977</v>
      </c>
      <c r="B28" s="671">
        <f t="shared" si="0"/>
        <v>1983</v>
      </c>
      <c r="C28" s="458">
        <f>VLOOKUP($A28,'Brd Tbl'!$A$8:$AX$64,23)</f>
        <v>14.11696530569891</v>
      </c>
      <c r="D28" s="458">
        <f>VLOOKUP($A28,'Brd Tbl'!$A$8:$AX$64,34)</f>
        <v>11.874501853485977</v>
      </c>
      <c r="E28" s="7">
        <v>41</v>
      </c>
      <c r="F28" s="7">
        <v>39</v>
      </c>
      <c r="G28" s="576">
        <v>1.3669276160384438</v>
      </c>
      <c r="H28" s="576">
        <v>0.72772690460610745</v>
      </c>
      <c r="I28" s="577">
        <v>0.22356121561862832</v>
      </c>
      <c r="J28" s="7">
        <v>11.614510261136003</v>
      </c>
      <c r="K28" s="7">
        <v>0.6789870680925324</v>
      </c>
      <c r="L28" s="7">
        <v>0.21364703095454654</v>
      </c>
      <c r="M28" s="576">
        <v>0.48565344474374761</v>
      </c>
      <c r="N28" s="440">
        <f t="shared" si="1"/>
        <v>0.25999159234997471</v>
      </c>
      <c r="O28" s="440">
        <f t="shared" si="2"/>
        <v>6.7595628092675428E-2</v>
      </c>
      <c r="P28" s="465">
        <f t="shared" si="3"/>
        <v>11.614510261136003</v>
      </c>
      <c r="Q28" s="440">
        <f t="shared" si="4"/>
        <v>10.740603399487888</v>
      </c>
      <c r="R28" s="440">
        <f t="shared" si="5"/>
        <v>12.488417122784117</v>
      </c>
      <c r="S28" s="466">
        <f t="shared" si="19"/>
        <v>32866.690313268613</v>
      </c>
      <c r="T28" s="440">
        <f t="shared" si="7"/>
        <v>1080219332.1483049</v>
      </c>
      <c r="U28" s="466">
        <f t="shared" si="8"/>
        <v>110692.37773045614</v>
      </c>
      <c r="V28" s="467">
        <f t="shared" si="9"/>
        <v>46193.916896227267</v>
      </c>
      <c r="W28" s="467">
        <f t="shared" si="10"/>
        <v>265247.09985402186</v>
      </c>
      <c r="X28" s="468">
        <f t="shared" si="11"/>
        <v>-0.22894193143729649</v>
      </c>
      <c r="Y28" s="468">
        <f t="shared" si="12"/>
        <v>0.22894193143729649</v>
      </c>
      <c r="Z28" s="517">
        <f t="shared" si="13"/>
        <v>14.11696530569891</v>
      </c>
      <c r="AA28" s="471">
        <f t="shared" si="14"/>
        <v>11.647617997237225</v>
      </c>
      <c r="AB28" s="473">
        <f t="shared" si="15"/>
        <v>11.874501853485977</v>
      </c>
      <c r="AC28" s="801">
        <f t="shared" si="16"/>
        <v>83</v>
      </c>
      <c r="AD28" s="435">
        <f t="shared" si="17"/>
        <v>10.77371113558911</v>
      </c>
      <c r="AE28" s="441">
        <f t="shared" si="18"/>
        <v>12.521524858885339</v>
      </c>
    </row>
    <row r="29" spans="1:31" ht="15.75">
      <c r="A29" s="134">
        <v>1978</v>
      </c>
      <c r="B29" s="671">
        <f t="shared" si="0"/>
        <v>1984</v>
      </c>
      <c r="C29" s="458">
        <f>VLOOKUP($A29,'Brd Tbl'!$A$8:$AX$64,23)</f>
        <v>13.613528697493491</v>
      </c>
      <c r="D29" s="458">
        <f>VLOOKUP($A29,'Brd Tbl'!$A$8:$AX$64,34)</f>
        <v>11.832392100060035</v>
      </c>
      <c r="E29" s="7">
        <v>41</v>
      </c>
      <c r="F29" s="7">
        <v>39</v>
      </c>
      <c r="G29" s="576">
        <v>1.0976545831760944</v>
      </c>
      <c r="H29" s="576">
        <v>0.74667503878486807</v>
      </c>
      <c r="I29" s="577">
        <v>0.22112485186303329</v>
      </c>
      <c r="J29" s="7">
        <v>11.226384450339731</v>
      </c>
      <c r="K29" s="7">
        <v>0.67392783227783648</v>
      </c>
      <c r="L29" s="7">
        <v>0.22622405137297727</v>
      </c>
      <c r="M29" s="576">
        <v>0.47896231519934906</v>
      </c>
      <c r="N29" s="440">
        <f t="shared" si="1"/>
        <v>0.60600764972030419</v>
      </c>
      <c r="O29" s="440">
        <f t="shared" si="2"/>
        <v>0.36724527151952691</v>
      </c>
      <c r="P29" s="465">
        <f t="shared" si="3"/>
        <v>11.226384450339731</v>
      </c>
      <c r="Q29" s="440">
        <f t="shared" si="4"/>
        <v>10.352477588691617</v>
      </c>
      <c r="R29" s="440">
        <f t="shared" si="5"/>
        <v>12.100291311987846</v>
      </c>
      <c r="S29" s="466">
        <f t="shared" si="19"/>
        <v>62553.71667495693</v>
      </c>
      <c r="T29" s="440">
        <f t="shared" si="7"/>
        <v>3912967469.8507848</v>
      </c>
      <c r="U29" s="466">
        <f t="shared" si="8"/>
        <v>75085.628180658154</v>
      </c>
      <c r="V29" s="467">
        <f t="shared" si="9"/>
        <v>31334.580929541393</v>
      </c>
      <c r="W29" s="467">
        <f t="shared" si="10"/>
        <v>179924.26871644653</v>
      </c>
      <c r="X29" s="468">
        <f t="shared" si="11"/>
        <v>-0.45447554796614548</v>
      </c>
      <c r="Y29" s="468">
        <f t="shared" si="12"/>
        <v>0.45447554796614548</v>
      </c>
      <c r="Z29" s="517">
        <f t="shared" si="13"/>
        <v>13.613528697493491</v>
      </c>
      <c r="AA29" s="471">
        <f t="shared" si="14"/>
        <v>11.277709587937615</v>
      </c>
      <c r="AB29" s="473">
        <f t="shared" si="15"/>
        <v>11.832392100060035</v>
      </c>
      <c r="AC29" s="801">
        <f t="shared" si="16"/>
        <v>84</v>
      </c>
      <c r="AD29" s="435">
        <f t="shared" si="17"/>
        <v>10.4038027262895</v>
      </c>
      <c r="AE29" s="441">
        <f t="shared" si="18"/>
        <v>12.151616449585729</v>
      </c>
    </row>
    <row r="30" spans="1:31" ht="15.75">
      <c r="A30" s="134">
        <v>1979</v>
      </c>
      <c r="B30" s="671">
        <f t="shared" si="0"/>
        <v>1985</v>
      </c>
      <c r="C30" s="458">
        <f>VLOOKUP($A30,'Brd Tbl'!$A$8:$AX$64,23)</f>
        <v>14.169276530236562</v>
      </c>
      <c r="D30" s="458">
        <f>VLOOKUP($A30,'Brd Tbl'!$A$8:$AX$64,34)</f>
        <v>12.03909876504431</v>
      </c>
      <c r="E30" s="7">
        <v>41</v>
      </c>
      <c r="F30" s="7">
        <v>39</v>
      </c>
      <c r="G30" s="576">
        <v>1.4680020397511253</v>
      </c>
      <c r="H30" s="576">
        <v>0.72009188058757068</v>
      </c>
      <c r="I30" s="577">
        <v>0.22337851663036393</v>
      </c>
      <c r="J30" s="7">
        <v>11.641919915339669</v>
      </c>
      <c r="K30" s="7">
        <v>0.67721767853894466</v>
      </c>
      <c r="L30" s="7">
        <v>0.21039610584094645</v>
      </c>
      <c r="M30" s="576">
        <v>0.48327653187216707</v>
      </c>
      <c r="N30" s="440">
        <f t="shared" si="1"/>
        <v>0.39717884970464112</v>
      </c>
      <c r="O30" s="440">
        <f t="shared" si="2"/>
        <v>0.1577510386527019</v>
      </c>
      <c r="P30" s="465">
        <f t="shared" si="3"/>
        <v>11.641919915339669</v>
      </c>
      <c r="Q30" s="440">
        <f t="shared" si="4"/>
        <v>10.768013053691554</v>
      </c>
      <c r="R30" s="440">
        <f t="shared" si="5"/>
        <v>12.515826776987783</v>
      </c>
      <c r="S30" s="466">
        <f t="shared" si="19"/>
        <v>55475.961747373338</v>
      </c>
      <c r="T30" s="440">
        <f t="shared" si="7"/>
        <v>3077582331.79603</v>
      </c>
      <c r="U30" s="466">
        <f t="shared" si="8"/>
        <v>113768.38104233705</v>
      </c>
      <c r="V30" s="467">
        <f t="shared" si="9"/>
        <v>47477.588313129629</v>
      </c>
      <c r="W30" s="467">
        <f t="shared" si="10"/>
        <v>272617.98639875354</v>
      </c>
      <c r="X30" s="468">
        <f t="shared" si="11"/>
        <v>-0.32778621035684113</v>
      </c>
      <c r="Y30" s="468">
        <f t="shared" si="12"/>
        <v>0.32778621035684113</v>
      </c>
      <c r="Z30" s="517">
        <f t="shared" si="13"/>
        <v>14.169276530236562</v>
      </c>
      <c r="AA30" s="471">
        <f t="shared" si="14"/>
        <v>11.68605453828698</v>
      </c>
      <c r="AB30" s="473">
        <f t="shared" si="15"/>
        <v>12.03909876504431</v>
      </c>
      <c r="AC30" s="801">
        <f t="shared" si="16"/>
        <v>85</v>
      </c>
      <c r="AD30" s="435">
        <f t="shared" si="17"/>
        <v>10.812147676638865</v>
      </c>
      <c r="AE30" s="441">
        <f t="shared" si="18"/>
        <v>12.559961399935094</v>
      </c>
    </row>
    <row r="31" spans="1:31" ht="15.75">
      <c r="A31" s="134">
        <v>1980</v>
      </c>
      <c r="B31" s="671">
        <f t="shared" si="0"/>
        <v>1986</v>
      </c>
      <c r="C31" s="458">
        <f>VLOOKUP($A31,'Brd Tbl'!$A$8:$AX$64,23)</f>
        <v>13.858768146655043</v>
      </c>
      <c r="D31" s="458">
        <f>VLOOKUP($A31,'Brd Tbl'!$A$8:$AX$64,34)</f>
        <v>11.946366878055242</v>
      </c>
      <c r="E31" s="7">
        <v>41</v>
      </c>
      <c r="F31" s="7">
        <v>39</v>
      </c>
      <c r="G31" s="576">
        <v>1.336177959493499</v>
      </c>
      <c r="H31" s="576">
        <v>0.72942467209462947</v>
      </c>
      <c r="I31" s="577">
        <v>0.2210648332873586</v>
      </c>
      <c r="J31" s="7">
        <v>11.445350692998275</v>
      </c>
      <c r="K31" s="7">
        <v>0.67484514032981535</v>
      </c>
      <c r="L31" s="7">
        <v>0.2182384525082233</v>
      </c>
      <c r="M31" s="576">
        <v>0.48019430831977217</v>
      </c>
      <c r="N31" s="440">
        <f t="shared" si="1"/>
        <v>0.50101618505696699</v>
      </c>
      <c r="O31" s="440">
        <f t="shared" si="2"/>
        <v>0.25101721768903701</v>
      </c>
      <c r="P31" s="465">
        <f t="shared" si="3"/>
        <v>11.445350692998275</v>
      </c>
      <c r="Q31" s="440">
        <f t="shared" si="4"/>
        <v>10.571443831350161</v>
      </c>
      <c r="R31" s="440">
        <f t="shared" si="5"/>
        <v>12.31925755464639</v>
      </c>
      <c r="S31" s="466">
        <f t="shared" si="19"/>
        <v>60789.914348184364</v>
      </c>
      <c r="T31" s="440">
        <f t="shared" si="7"/>
        <v>3695413686.4595914</v>
      </c>
      <c r="U31" s="466">
        <f t="shared" si="8"/>
        <v>93465.783179401275</v>
      </c>
      <c r="V31" s="467">
        <f t="shared" si="9"/>
        <v>39004.949657361263</v>
      </c>
      <c r="W31" s="467">
        <f t="shared" si="10"/>
        <v>223967.79644837111</v>
      </c>
      <c r="X31" s="468">
        <f t="shared" si="11"/>
        <v>-0.39408537462490334</v>
      </c>
      <c r="Y31" s="468">
        <f t="shared" si="12"/>
        <v>0.39408537462490334</v>
      </c>
      <c r="Z31" s="517">
        <f t="shared" si="13"/>
        <v>13.858768146655043</v>
      </c>
      <c r="AA31" s="471">
        <f t="shared" si="14"/>
        <v>11.457903346314135</v>
      </c>
      <c r="AB31" s="473">
        <f t="shared" si="15"/>
        <v>11.946366878055242</v>
      </c>
      <c r="AC31" s="801">
        <f t="shared" si="16"/>
        <v>86</v>
      </c>
      <c r="AD31" s="435">
        <f t="shared" si="17"/>
        <v>10.58399648466602</v>
      </c>
      <c r="AE31" s="441">
        <f t="shared" si="18"/>
        <v>12.331810207962249</v>
      </c>
    </row>
    <row r="32" spans="1:31" ht="15.75">
      <c r="A32" s="134">
        <v>1981</v>
      </c>
      <c r="B32" s="671">
        <f t="shared" si="0"/>
        <v>1987</v>
      </c>
      <c r="C32" s="458">
        <f>VLOOKUP($A32,'Brd Tbl'!$A$8:$AX$64,23)</f>
        <v>13.500399551096667</v>
      </c>
      <c r="D32" s="458">
        <f>VLOOKUP($A32,'Brd Tbl'!$A$8:$AX$64,34)</f>
        <v>11.473324069819592</v>
      </c>
      <c r="E32" s="7">
        <v>41</v>
      </c>
      <c r="F32" s="7">
        <v>39</v>
      </c>
      <c r="G32" s="576">
        <v>1.2042499779247215</v>
      </c>
      <c r="H32" s="576">
        <v>0.73953959419280724</v>
      </c>
      <c r="I32" s="577">
        <v>0.22284464050147643</v>
      </c>
      <c r="J32" s="7">
        <v>11.225531504634661</v>
      </c>
      <c r="K32" s="7">
        <v>0.67894843160639795</v>
      </c>
      <c r="L32" s="7">
        <v>0.22020782203445916</v>
      </c>
      <c r="M32" s="576">
        <v>0.4856085617907111</v>
      </c>
      <c r="N32" s="440">
        <f t="shared" si="1"/>
        <v>0.24779256518493042</v>
      </c>
      <c r="O32" s="440">
        <f t="shared" si="2"/>
        <v>6.1401155360927995E-2</v>
      </c>
      <c r="P32" s="465">
        <f t="shared" si="3"/>
        <v>11.225531504634661</v>
      </c>
      <c r="Q32" s="440">
        <f t="shared" si="4"/>
        <v>10.351624642986547</v>
      </c>
      <c r="R32" s="440">
        <f t="shared" si="5"/>
        <v>12.099438366282776</v>
      </c>
      <c r="S32" s="466">
        <f t="shared" si="19"/>
        <v>21095.637560166884</v>
      </c>
      <c r="T32" s="440">
        <f t="shared" si="7"/>
        <v>445025924.06992382</v>
      </c>
      <c r="U32" s="466">
        <f t="shared" si="8"/>
        <v>75021.611521837185</v>
      </c>
      <c r="V32" s="467">
        <f t="shared" si="9"/>
        <v>31307.86562828776</v>
      </c>
      <c r="W32" s="467">
        <f t="shared" si="10"/>
        <v>179770.86851452879</v>
      </c>
      <c r="X32" s="468">
        <f t="shared" si="11"/>
        <v>-0.21947816611115015</v>
      </c>
      <c r="Y32" s="468">
        <f t="shared" si="12"/>
        <v>0.21947816611115015</v>
      </c>
      <c r="Z32" s="517">
        <f t="shared" si="13"/>
        <v>13.500399551096667</v>
      </c>
      <c r="AA32" s="471">
        <f t="shared" si="14"/>
        <v>11.194586068696047</v>
      </c>
      <c r="AB32" s="473">
        <f t="shared" si="15"/>
        <v>11.473324069819592</v>
      </c>
      <c r="AC32" s="801">
        <f t="shared" si="16"/>
        <v>87</v>
      </c>
      <c r="AD32" s="435">
        <f t="shared" si="17"/>
        <v>10.320679207047933</v>
      </c>
      <c r="AE32" s="441">
        <f t="shared" si="18"/>
        <v>12.068492930344162</v>
      </c>
    </row>
    <row r="33" spans="1:35" ht="15.75">
      <c r="A33" s="134">
        <v>1982</v>
      </c>
      <c r="B33" s="671">
        <f t="shared" si="0"/>
        <v>1988</v>
      </c>
      <c r="C33" s="458">
        <f>VLOOKUP($A33,'Brd Tbl'!$A$8:$AX$64,23)</f>
        <v>14.123812821422923</v>
      </c>
      <c r="D33" s="458">
        <f>VLOOKUP($A33,'Brd Tbl'!$A$8:$AX$64,34)</f>
        <v>11.194600157856149</v>
      </c>
      <c r="E33" s="7">
        <v>41</v>
      </c>
      <c r="F33" s="7">
        <v>39</v>
      </c>
      <c r="G33" s="576">
        <v>1.0143218920323491</v>
      </c>
      <c r="H33" s="576">
        <v>0.754569669085009</v>
      </c>
      <c r="I33" s="577">
        <v>0.22273918037341153</v>
      </c>
      <c r="J33" s="7">
        <v>11.677565150179062</v>
      </c>
      <c r="K33" s="7">
        <v>0.67519869300730628</v>
      </c>
      <c r="L33" s="7">
        <v>0.22736160758616769</v>
      </c>
      <c r="M33" s="576">
        <v>0.48057465842285529</v>
      </c>
      <c r="N33" s="440">
        <f t="shared" si="1"/>
        <v>-0.48296499232291268</v>
      </c>
      <c r="O33" s="440">
        <f t="shared" si="2"/>
        <v>0.23325518380947111</v>
      </c>
      <c r="P33" s="465">
        <f t="shared" si="3"/>
        <v>11.677565150179062</v>
      </c>
      <c r="Q33" s="440">
        <f t="shared" si="4"/>
        <v>10.803658288530947</v>
      </c>
      <c r="R33" s="440">
        <f t="shared" si="5"/>
        <v>12.551472011827176</v>
      </c>
      <c r="S33" s="466">
        <f t="shared" si="19"/>
        <v>-45160.210992900553</v>
      </c>
      <c r="T33" s="440">
        <f t="shared" si="7"/>
        <v>2039444656.923296</v>
      </c>
      <c r="U33" s="466">
        <f t="shared" si="8"/>
        <v>117896.82424753114</v>
      </c>
      <c r="V33" s="467">
        <f t="shared" si="9"/>
        <v>49200.461795854157</v>
      </c>
      <c r="W33" s="467">
        <f t="shared" si="10"/>
        <v>282510.78669396735</v>
      </c>
      <c r="X33" s="468">
        <f t="shared" si="11"/>
        <v>0.62087316101462209</v>
      </c>
      <c r="Y33" s="468">
        <f t="shared" si="12"/>
        <v>0.62087316101462209</v>
      </c>
      <c r="Z33" s="517">
        <f t="shared" si="13"/>
        <v>14.123812821422923</v>
      </c>
      <c r="AA33" s="471">
        <f t="shared" si="14"/>
        <v>11.652649323143683</v>
      </c>
      <c r="AB33" s="473">
        <f t="shared" si="15"/>
        <v>11.194600157856149</v>
      </c>
      <c r="AC33" s="801">
        <f t="shared" si="16"/>
        <v>88</v>
      </c>
      <c r="AD33" s="435">
        <f t="shared" si="17"/>
        <v>10.778742461495568</v>
      </c>
      <c r="AE33" s="441">
        <f t="shared" si="18"/>
        <v>12.526556184791797</v>
      </c>
    </row>
    <row r="34" spans="1:35" ht="15.75">
      <c r="A34" s="134">
        <v>1983</v>
      </c>
      <c r="B34" s="671">
        <f t="shared" si="0"/>
        <v>1989</v>
      </c>
      <c r="C34" s="458">
        <f>VLOOKUP($A34,'Brd Tbl'!$A$8:$AX$64,23)</f>
        <v>13.193528357920927</v>
      </c>
      <c r="D34" s="458">
        <f>VLOOKUP($A34,'Brd Tbl'!$A$8:$AX$64,34)</f>
        <v>11.925526431997534</v>
      </c>
      <c r="E34" s="7">
        <v>41</v>
      </c>
      <c r="F34" s="7">
        <v>39</v>
      </c>
      <c r="G34" s="576">
        <v>0.47124898808230498</v>
      </c>
      <c r="H34" s="576">
        <v>0.79146944040717815</v>
      </c>
      <c r="I34" s="577">
        <v>0.22044892243624048</v>
      </c>
      <c r="J34" s="7">
        <v>10.936432198753048</v>
      </c>
      <c r="K34" s="7">
        <v>0.66244040537320026</v>
      </c>
      <c r="L34" s="7">
        <v>0.24840985057089204</v>
      </c>
      <c r="M34" s="576">
        <v>0.46328723981420111</v>
      </c>
      <c r="N34" s="440">
        <f t="shared" si="1"/>
        <v>0.98909423324448653</v>
      </c>
      <c r="O34" s="440">
        <f t="shared" si="2"/>
        <v>0.97830740223749868</v>
      </c>
      <c r="P34" s="465">
        <f t="shared" si="3"/>
        <v>10.936432198753048</v>
      </c>
      <c r="Q34" s="440">
        <f t="shared" si="4"/>
        <v>10.062525337104933</v>
      </c>
      <c r="R34" s="440">
        <f t="shared" si="5"/>
        <v>11.810339060401162</v>
      </c>
      <c r="S34" s="466">
        <f t="shared" si="19"/>
        <v>94887.684204723162</v>
      </c>
      <c r="T34" s="440">
        <f t="shared" si="7"/>
        <v>9003672613.7352695</v>
      </c>
      <c r="U34" s="466">
        <f t="shared" si="8"/>
        <v>56186.522769599833</v>
      </c>
      <c r="V34" s="467">
        <f t="shared" si="9"/>
        <v>23447.644876027909</v>
      </c>
      <c r="W34" s="467">
        <f t="shared" si="10"/>
        <v>134637.2037631078</v>
      </c>
      <c r="X34" s="468">
        <f t="shared" si="11"/>
        <v>-0.62808659469482142</v>
      </c>
      <c r="Y34" s="468">
        <f t="shared" si="12"/>
        <v>0.62808659469482142</v>
      </c>
      <c r="Z34" s="517">
        <f t="shared" si="13"/>
        <v>13.193528357920927</v>
      </c>
      <c r="AA34" s="471">
        <f t="shared" si="14"/>
        <v>10.969107362782802</v>
      </c>
      <c r="AB34" s="473">
        <f t="shared" si="15"/>
        <v>11.925526431997534</v>
      </c>
      <c r="AC34" s="801">
        <f t="shared" si="16"/>
        <v>89</v>
      </c>
      <c r="AD34" s="435">
        <f t="shared" si="17"/>
        <v>10.095200501134688</v>
      </c>
      <c r="AE34" s="441">
        <f t="shared" si="18"/>
        <v>11.843014224430917</v>
      </c>
    </row>
    <row r="35" spans="1:35" ht="15.75">
      <c r="A35" s="134">
        <v>1984</v>
      </c>
      <c r="B35" s="671">
        <f t="shared" si="0"/>
        <v>1990</v>
      </c>
      <c r="C35" s="458">
        <f>VLOOKUP($A35,'Brd Tbl'!$A$8:$AX$64,23)</f>
        <v>13.828371573710584</v>
      </c>
      <c r="D35" s="458">
        <f>VLOOKUP($A35,'Brd Tbl'!$A$8:$AX$64,34)</f>
        <v>12.310883218316269</v>
      </c>
      <c r="E35" s="7">
        <v>41</v>
      </c>
      <c r="F35" s="7">
        <v>39</v>
      </c>
      <c r="G35" s="576">
        <v>1.2686127699602174</v>
      </c>
      <c r="H35" s="576">
        <v>0.73366583278334174</v>
      </c>
      <c r="I35" s="577">
        <v>0.21760038013634797</v>
      </c>
      <c r="J35" s="7">
        <v>11.374050425121659</v>
      </c>
      <c r="K35" s="7">
        <v>0.66460500282232726</v>
      </c>
      <c r="L35" s="7">
        <v>0.22569612981691073</v>
      </c>
      <c r="M35" s="576">
        <v>0.46683538271891784</v>
      </c>
      <c r="N35" s="440">
        <f t="shared" si="1"/>
        <v>0.93683279319460944</v>
      </c>
      <c r="O35" s="440">
        <f t="shared" si="2"/>
        <v>0.87765568240481384</v>
      </c>
      <c r="P35" s="465">
        <f t="shared" si="3"/>
        <v>11.374050425121659</v>
      </c>
      <c r="Q35" s="440">
        <f t="shared" si="4"/>
        <v>10.500143563473545</v>
      </c>
      <c r="R35" s="440">
        <f t="shared" si="5"/>
        <v>12.247957286769774</v>
      </c>
      <c r="S35" s="466">
        <f t="shared" si="19"/>
        <v>135066.36838523339</v>
      </c>
      <c r="T35" s="440">
        <f t="shared" si="7"/>
        <v>18242923868.775574</v>
      </c>
      <c r="U35" s="466">
        <f t="shared" si="8"/>
        <v>87033.677907907258</v>
      </c>
      <c r="V35" s="467">
        <f t="shared" si="9"/>
        <v>36320.716628211791</v>
      </c>
      <c r="W35" s="467">
        <f t="shared" si="10"/>
        <v>208554.83573508673</v>
      </c>
      <c r="X35" s="468">
        <f t="shared" si="11"/>
        <v>-0.60813300420012018</v>
      </c>
      <c r="Y35" s="468">
        <f t="shared" si="12"/>
        <v>0.60813300420012018</v>
      </c>
      <c r="Z35" s="517">
        <f t="shared" si="13"/>
        <v>13.828371573710584</v>
      </c>
      <c r="AA35" s="471">
        <f t="shared" si="14"/>
        <v>11.435568959496049</v>
      </c>
      <c r="AB35" s="473">
        <f t="shared" si="15"/>
        <v>12.310883218316269</v>
      </c>
      <c r="AC35" s="801">
        <f t="shared" si="16"/>
        <v>90</v>
      </c>
      <c r="AD35" s="435">
        <f t="shared" si="17"/>
        <v>10.561662097847934</v>
      </c>
      <c r="AE35" s="441">
        <f t="shared" si="18"/>
        <v>12.309475821144163</v>
      </c>
    </row>
    <row r="36" spans="1:35" ht="15.75">
      <c r="A36" s="134">
        <v>1985</v>
      </c>
      <c r="B36" s="671">
        <f t="shared" si="0"/>
        <v>1991</v>
      </c>
      <c r="C36" s="458">
        <f>VLOOKUP($A36,'Brd Tbl'!$A$8:$AX$64,23)</f>
        <v>13.37144981129318</v>
      </c>
      <c r="D36" s="458">
        <f>VLOOKUP($A36,'Brd Tbl'!$A$8:$AX$64,34)</f>
        <v>11.13243535189706</v>
      </c>
      <c r="E36" s="7">
        <v>41</v>
      </c>
      <c r="F36" s="7">
        <v>39</v>
      </c>
      <c r="G36" s="576">
        <v>1.3118540784220762</v>
      </c>
      <c r="H36" s="576">
        <v>0.73236278519945175</v>
      </c>
      <c r="I36" s="577">
        <v>0.22264260306492425</v>
      </c>
      <c r="J36" s="7">
        <v>11.288865565536353</v>
      </c>
      <c r="K36" s="7">
        <v>0.6792833757692438</v>
      </c>
      <c r="L36" s="7">
        <v>0.21718527323849673</v>
      </c>
      <c r="M36" s="576">
        <v>0.4860558194245565</v>
      </c>
      <c r="N36" s="440">
        <f t="shared" si="1"/>
        <v>-0.15643021363929321</v>
      </c>
      <c r="O36" s="440">
        <f t="shared" si="2"/>
        <v>2.4470411739234917E-2</v>
      </c>
      <c r="P36" s="465">
        <f t="shared" si="3"/>
        <v>11.288865565536353</v>
      </c>
      <c r="Q36" s="440">
        <f t="shared" si="4"/>
        <v>10.414958703888239</v>
      </c>
      <c r="R36" s="440">
        <f t="shared" si="5"/>
        <v>12.162772427184468</v>
      </c>
      <c r="S36" s="466">
        <f t="shared" si="19"/>
        <v>-11574.093536174303</v>
      </c>
      <c r="T36" s="440">
        <f t="shared" si="7"/>
        <v>133959641.18411179</v>
      </c>
      <c r="U36" s="466">
        <f t="shared" si="8"/>
        <v>79926.725727924815</v>
      </c>
      <c r="V36" s="467">
        <f t="shared" si="9"/>
        <v>33354.857866129736</v>
      </c>
      <c r="W36" s="467">
        <f t="shared" si="10"/>
        <v>191524.77013172684</v>
      </c>
      <c r="X36" s="468">
        <f t="shared" si="11"/>
        <v>0.16932915624529793</v>
      </c>
      <c r="Y36" s="468">
        <f t="shared" si="12"/>
        <v>0.16932915624529793</v>
      </c>
      <c r="Z36" s="441">
        <f t="shared" si="13"/>
        <v>13.37144981129318</v>
      </c>
      <c r="AA36" s="480">
        <f t="shared" si="14"/>
        <v>11.099838105689663</v>
      </c>
      <c r="AB36" s="473">
        <f t="shared" si="15"/>
        <v>11.13243535189706</v>
      </c>
      <c r="AC36" s="801">
        <f t="shared" si="16"/>
        <v>91</v>
      </c>
      <c r="AD36" s="435">
        <f t="shared" si="17"/>
        <v>10.225931244041549</v>
      </c>
      <c r="AE36" s="441">
        <f t="shared" si="18"/>
        <v>11.973744967337778</v>
      </c>
    </row>
    <row r="37" spans="1:35" ht="15.75">
      <c r="A37" s="134">
        <v>1986</v>
      </c>
      <c r="B37" s="671">
        <f t="shared" si="0"/>
        <v>1992</v>
      </c>
      <c r="C37" s="458">
        <f>VLOOKUP($A37,'Brd Tbl'!$A$8:$AX$64,23)</f>
        <v>14.072007751012482</v>
      </c>
      <c r="D37" s="458">
        <f>VLOOKUP($A37,'Brd Tbl'!$A$8:$AX$64,34)</f>
        <v>11.536437818183675</v>
      </c>
      <c r="E37" s="7">
        <v>41</v>
      </c>
      <c r="F37" s="7">
        <v>39</v>
      </c>
      <c r="G37" s="576">
        <v>1.2817568954642002</v>
      </c>
      <c r="H37" s="576">
        <v>0.73421368850751478</v>
      </c>
      <c r="I37" s="577">
        <v>0.22284499024768764</v>
      </c>
      <c r="J37" s="7">
        <v>11.499666217006764</v>
      </c>
      <c r="K37" s="7">
        <v>0.6797379527504489</v>
      </c>
      <c r="L37" s="7">
        <v>0.21773509830372123</v>
      </c>
      <c r="M37" s="576">
        <v>0.48665907195954589</v>
      </c>
      <c r="N37" s="440">
        <f t="shared" si="1"/>
        <v>3.6771601176910806E-2</v>
      </c>
      <c r="O37" s="440">
        <f t="shared" si="2"/>
        <v>1.3521506531137882E-3</v>
      </c>
      <c r="P37" s="465">
        <f t="shared" si="3"/>
        <v>11.499666217006764</v>
      </c>
      <c r="Q37" s="440">
        <f t="shared" si="4"/>
        <v>10.62575935535865</v>
      </c>
      <c r="R37" s="440">
        <f t="shared" si="5"/>
        <v>12.373573078654879</v>
      </c>
      <c r="S37" s="466">
        <f t="shared" si="19"/>
        <v>3696.2679140247637</v>
      </c>
      <c r="T37" s="440">
        <f t="shared" si="7"/>
        <v>13662396.492248978</v>
      </c>
      <c r="U37" s="466">
        <f t="shared" si="8"/>
        <v>98682.826863636816</v>
      </c>
      <c r="V37" s="467">
        <f t="shared" si="9"/>
        <v>41182.115667656981</v>
      </c>
      <c r="W37" s="467">
        <f t="shared" si="10"/>
        <v>236469.16045759752</v>
      </c>
      <c r="X37" s="468">
        <f t="shared" si="11"/>
        <v>-3.6103737018304487E-2</v>
      </c>
      <c r="Y37" s="468">
        <f t="shared" si="12"/>
        <v>3.6103737018304487E-2</v>
      </c>
      <c r="Z37" s="441">
        <f t="shared" si="13"/>
        <v>14.072007751012482</v>
      </c>
      <c r="AA37" s="480">
        <f t="shared" si="14"/>
        <v>11.614584687245451</v>
      </c>
      <c r="AB37" s="473">
        <f t="shared" si="15"/>
        <v>11.536437818183675</v>
      </c>
      <c r="AC37" s="801">
        <f t="shared" si="16"/>
        <v>92</v>
      </c>
      <c r="AD37" s="435">
        <f t="shared" si="17"/>
        <v>10.740677825597336</v>
      </c>
      <c r="AE37" s="441">
        <f t="shared" si="18"/>
        <v>12.488491548893565</v>
      </c>
    </row>
    <row r="38" spans="1:35" ht="15.75">
      <c r="A38" s="134">
        <v>1987</v>
      </c>
      <c r="B38" s="671">
        <f t="shared" si="0"/>
        <v>1993</v>
      </c>
      <c r="C38" s="458">
        <f>VLOOKUP($A38,'Brd Tbl'!$A$8:$AX$64,23)</f>
        <v>13.888105737944398</v>
      </c>
      <c r="D38" s="458">
        <f>VLOOKUP($A38,'Brd Tbl'!$A$8:$AX$64,34)</f>
        <v>12.031153527709229</v>
      </c>
      <c r="E38" s="7">
        <v>41</v>
      </c>
      <c r="F38" s="7">
        <v>39</v>
      </c>
      <c r="G38" s="576">
        <v>1.4023800284718106</v>
      </c>
      <c r="H38" s="576">
        <v>0.72459128515952897</v>
      </c>
      <c r="I38" s="577">
        <v>0.22126239551033047</v>
      </c>
      <c r="J38" s="7">
        <v>11.504532755677641</v>
      </c>
      <c r="K38" s="7">
        <v>0.67459992145145398</v>
      </c>
      <c r="L38" s="7">
        <v>0.2156760271868467</v>
      </c>
      <c r="M38" s="576">
        <v>0.47985438274282671</v>
      </c>
      <c r="N38" s="440">
        <f t="shared" si="1"/>
        <v>0.5266207720315883</v>
      </c>
      <c r="O38" s="440">
        <f t="shared" si="2"/>
        <v>0.27732943753514611</v>
      </c>
      <c r="P38" s="465">
        <f t="shared" si="3"/>
        <v>11.504532755677641</v>
      </c>
      <c r="Q38" s="440">
        <f t="shared" si="4"/>
        <v>10.630625894029526</v>
      </c>
      <c r="R38" s="440">
        <f t="shared" si="5"/>
        <v>12.378439617325755</v>
      </c>
      <c r="S38" s="466">
        <f t="shared" si="19"/>
        <v>68740.743008493446</v>
      </c>
      <c r="T38" s="440">
        <f t="shared" si="7"/>
        <v>4725289749.3597403</v>
      </c>
      <c r="U38" s="466">
        <f t="shared" si="8"/>
        <v>99164.241117142083</v>
      </c>
      <c r="V38" s="467">
        <f t="shared" si="9"/>
        <v>41383.018480253835</v>
      </c>
      <c r="W38" s="467">
        <f t="shared" si="10"/>
        <v>237622.7514923985</v>
      </c>
      <c r="X38" s="468">
        <f t="shared" si="11"/>
        <v>-0.40940263546350675</v>
      </c>
      <c r="Y38" s="468">
        <f t="shared" si="12"/>
        <v>0.40940263546350675</v>
      </c>
      <c r="Z38" s="473">
        <f t="shared" si="13"/>
        <v>13.888105737944398</v>
      </c>
      <c r="AA38" s="480">
        <f t="shared" si="14"/>
        <v>11.479459628772839</v>
      </c>
      <c r="AB38" s="473">
        <f t="shared" si="15"/>
        <v>12.031153527709229</v>
      </c>
      <c r="AC38" s="801">
        <f t="shared" si="16"/>
        <v>93</v>
      </c>
      <c r="AD38" s="435">
        <f t="shared" si="17"/>
        <v>10.605552767124724</v>
      </c>
      <c r="AE38" s="441">
        <f t="shared" si="18"/>
        <v>12.353366490420953</v>
      </c>
    </row>
    <row r="39" spans="1:35" ht="15.75">
      <c r="A39" s="134">
        <v>1988</v>
      </c>
      <c r="B39" s="671">
        <f t="shared" si="0"/>
        <v>1994</v>
      </c>
      <c r="C39" s="458">
        <f>VLOOKUP($A39,'Brd Tbl'!$A$8:$AX$64,23)</f>
        <v>14.100673827299241</v>
      </c>
      <c r="D39" s="458">
        <f>VLOOKUP($A39,'Brd Tbl'!$A$8:$AX$64,34)</f>
        <v>10.935939568976963</v>
      </c>
      <c r="E39" s="7">
        <v>41</v>
      </c>
      <c r="F39" s="7">
        <v>39</v>
      </c>
      <c r="G39" s="576">
        <v>0.93191365763214939</v>
      </c>
      <c r="H39" s="576">
        <v>0.76099011365583291</v>
      </c>
      <c r="I39" s="577">
        <v>0.22046728917487607</v>
      </c>
      <c r="J39" s="7">
        <v>11.653060241604484</v>
      </c>
      <c r="K39" s="7">
        <v>0.66942762590736715</v>
      </c>
      <c r="L39" s="7">
        <v>0.23400743339562149</v>
      </c>
      <c r="M39" s="576">
        <v>0.47294435255561312</v>
      </c>
      <c r="N39" s="440">
        <f t="shared" si="1"/>
        <v>-0.71712067262752122</v>
      </c>
      <c r="O39" s="440">
        <f t="shared" si="2"/>
        <v>0.51426205910974843</v>
      </c>
      <c r="P39" s="465">
        <f t="shared" si="3"/>
        <v>11.653060241604484</v>
      </c>
      <c r="Q39" s="440">
        <f t="shared" ref="Q39:Q59" si="20">$P39-(SQRT($O$63)*$Q$63)</f>
        <v>10.779153379956369</v>
      </c>
      <c r="R39" s="440">
        <f t="shared" si="5"/>
        <v>12.526967103252598</v>
      </c>
      <c r="S39" s="466">
        <f t="shared" si="19"/>
        <v>-58884.033501461992</v>
      </c>
      <c r="T39" s="440">
        <f t="shared" si="7"/>
        <v>3467329401.401298</v>
      </c>
      <c r="U39" s="466">
        <f t="shared" si="8"/>
        <v>115042.88393359918</v>
      </c>
      <c r="V39" s="467">
        <f t="shared" si="9"/>
        <v>48009.461255513503</v>
      </c>
      <c r="W39" s="467">
        <f t="shared" si="10"/>
        <v>275672.01959050633</v>
      </c>
      <c r="X39" s="468">
        <f t="shared" si="11"/>
        <v>1.0485263328639167</v>
      </c>
      <c r="Y39" s="468">
        <f t="shared" si="12"/>
        <v>1.0485263328639167</v>
      </c>
      <c r="Z39" s="471">
        <f t="shared" si="13"/>
        <v>14.100673827299241</v>
      </c>
      <c r="AA39" s="480">
        <f t="shared" si="14"/>
        <v>11.635647562903014</v>
      </c>
      <c r="AB39" s="473">
        <f t="shared" si="15"/>
        <v>10.935939568976963</v>
      </c>
      <c r="AC39" s="801">
        <f t="shared" si="16"/>
        <v>94</v>
      </c>
      <c r="AD39" s="435">
        <f t="shared" si="17"/>
        <v>10.761740701254899</v>
      </c>
      <c r="AE39" s="441">
        <f t="shared" si="18"/>
        <v>12.509554424551128</v>
      </c>
      <c r="AH39" s="54" t="s">
        <v>180</v>
      </c>
      <c r="AI39" s="465">
        <f>ROUND(L61,5)</f>
        <v>0.21843000000000001</v>
      </c>
    </row>
    <row r="40" spans="1:35" ht="15.75">
      <c r="A40" s="134">
        <v>1989</v>
      </c>
      <c r="B40" s="671">
        <f t="shared" si="0"/>
        <v>1995</v>
      </c>
      <c r="C40" s="458">
        <f>VLOOKUP($A40,'Brd Tbl'!$A$8:$AX$64,23)</f>
        <v>14.102620144485565</v>
      </c>
      <c r="D40" s="458">
        <f>VLOOKUP($A40,'Brd Tbl'!$A$8:$AX$64,34)</f>
        <v>11.637273415799703</v>
      </c>
      <c r="E40" s="7">
        <v>41</v>
      </c>
      <c r="F40" s="7">
        <v>39</v>
      </c>
      <c r="G40" s="576">
        <v>1.2164911489283572</v>
      </c>
      <c r="H40" s="576">
        <v>0.73917166450183502</v>
      </c>
      <c r="I40" s="577">
        <v>0.22503120687990333</v>
      </c>
      <c r="J40" s="7">
        <v>11.722239790085197</v>
      </c>
      <c r="K40" s="7">
        <v>0.67960858342442643</v>
      </c>
      <c r="L40" s="7">
        <v>0.2167038028897306</v>
      </c>
      <c r="M40" s="576">
        <v>0.48648326120591406</v>
      </c>
      <c r="N40" s="440">
        <f t="shared" si="1"/>
        <v>-8.4966374285494695E-2</v>
      </c>
      <c r="O40" s="440">
        <f t="shared" si="2"/>
        <v>7.2192847592227744E-3</v>
      </c>
      <c r="P40" s="465">
        <f t="shared" si="3"/>
        <v>11.722239790085197</v>
      </c>
      <c r="Q40" s="440">
        <f t="shared" si="20"/>
        <v>10.848332928437083</v>
      </c>
      <c r="R40" s="440">
        <f t="shared" si="5"/>
        <v>12.596146651733312</v>
      </c>
      <c r="S40" s="466">
        <f t="shared" si="19"/>
        <v>-10042.262244057245</v>
      </c>
      <c r="T40" s="440">
        <f t="shared" si="7"/>
        <v>100847030.97841765</v>
      </c>
      <c r="U40" s="466">
        <f t="shared" si="8"/>
        <v>123283.24478354445</v>
      </c>
      <c r="V40" s="467">
        <f t="shared" si="9"/>
        <v>51448.311807845275</v>
      </c>
      <c r="W40" s="467">
        <f t="shared" si="10"/>
        <v>295418.02073361137</v>
      </c>
      <c r="X40" s="468">
        <f t="shared" si="11"/>
        <v>8.8680458424629988E-2</v>
      </c>
      <c r="Y40" s="468">
        <f t="shared" si="12"/>
        <v>8.8680458424629988E-2</v>
      </c>
      <c r="Z40" s="471">
        <f t="shared" si="13"/>
        <v>14.102620144485565</v>
      </c>
      <c r="AA40" s="480">
        <f t="shared" si="14"/>
        <v>11.637077651781437</v>
      </c>
      <c r="AB40" s="473">
        <f t="shared" si="15"/>
        <v>11.637273415799703</v>
      </c>
      <c r="AC40" s="801">
        <f t="shared" si="16"/>
        <v>95</v>
      </c>
      <c r="AD40" s="435">
        <f t="shared" si="17"/>
        <v>10.763170790133323</v>
      </c>
      <c r="AE40" s="441">
        <f t="shared" si="18"/>
        <v>12.510984513429552</v>
      </c>
      <c r="AH40" s="54" t="s">
        <v>202</v>
      </c>
      <c r="AI40" s="465">
        <f>ROUND(H61,5)</f>
        <v>0.73477000000000003</v>
      </c>
    </row>
    <row r="41" spans="1:35" ht="15.75">
      <c r="A41" s="134">
        <v>1990</v>
      </c>
      <c r="B41" s="671">
        <f t="shared" si="0"/>
        <v>1996</v>
      </c>
      <c r="C41" s="458">
        <f>VLOOKUP($A41,'Brd Tbl'!$A$8:$AX$64,23)</f>
        <v>13.874070782802761</v>
      </c>
      <c r="D41" s="458">
        <f>VLOOKUP($A41,'Brd Tbl'!$A$8:$AX$64,34)</f>
        <v>11.822220700393405</v>
      </c>
      <c r="E41" s="7">
        <v>41</v>
      </c>
      <c r="F41" s="7">
        <v>39</v>
      </c>
      <c r="G41" s="576">
        <v>1.3661078778448097</v>
      </c>
      <c r="H41" s="576">
        <v>0.72775135184713424</v>
      </c>
      <c r="I41" s="577">
        <v>0.22328431307098048</v>
      </c>
      <c r="J41" s="7">
        <v>11.592450360182573</v>
      </c>
      <c r="K41" s="7">
        <v>0.67882540972460959</v>
      </c>
      <c r="L41" s="7">
        <v>0.21407506217591143</v>
      </c>
      <c r="M41" s="576">
        <v>0.48543963793772693</v>
      </c>
      <c r="N41" s="440">
        <f t="shared" si="1"/>
        <v>0.2297703402108322</v>
      </c>
      <c r="O41" s="440">
        <f t="shared" si="2"/>
        <v>5.2794409240601574E-2</v>
      </c>
      <c r="P41" s="465">
        <f t="shared" si="3"/>
        <v>11.592450360182573</v>
      </c>
      <c r="Q41" s="440">
        <f t="shared" si="20"/>
        <v>10.718543498534459</v>
      </c>
      <c r="R41" s="440">
        <f t="shared" si="5"/>
        <v>12.466357221830688</v>
      </c>
      <c r="S41" s="466">
        <f t="shared" si="19"/>
        <v>27969.204388539583</v>
      </c>
      <c r="T41" s="440">
        <f t="shared" si="7"/>
        <v>782276394.12790191</v>
      </c>
      <c r="U41" s="466">
        <f t="shared" si="8"/>
        <v>108277.25150455888</v>
      </c>
      <c r="V41" s="467">
        <f t="shared" si="9"/>
        <v>45186.041354474393</v>
      </c>
      <c r="W41" s="467">
        <f t="shared" si="10"/>
        <v>259459.84295038434</v>
      </c>
      <c r="X41" s="468">
        <f t="shared" si="11"/>
        <v>-0.20528390412213546</v>
      </c>
      <c r="Y41" s="468">
        <f t="shared" si="12"/>
        <v>0.20528390412213546</v>
      </c>
      <c r="Z41" s="471">
        <f t="shared" si="13"/>
        <v>13.874070782802761</v>
      </c>
      <c r="AA41" s="480">
        <f t="shared" si="14"/>
        <v>11.469147212380353</v>
      </c>
      <c r="AB41" s="473">
        <f t="shared" si="15"/>
        <v>11.822220700393405</v>
      </c>
      <c r="AC41" s="801">
        <f t="shared" si="16"/>
        <v>96</v>
      </c>
      <c r="AD41" s="435">
        <f t="shared" si="17"/>
        <v>10.595240350732238</v>
      </c>
      <c r="AE41" s="441">
        <f t="shared" si="18"/>
        <v>12.343054074028467</v>
      </c>
      <c r="AH41" s="54" t="s">
        <v>182</v>
      </c>
      <c r="AI41" s="510">
        <f>X64</f>
        <v>0.2772888958913689</v>
      </c>
    </row>
    <row r="42" spans="1:35" ht="15.75">
      <c r="A42" s="134">
        <v>1991</v>
      </c>
      <c r="B42" s="671">
        <f t="shared" si="0"/>
        <v>1997</v>
      </c>
      <c r="C42" s="458">
        <f>VLOOKUP($A42,'Brd Tbl'!$A$8:$AX$64,23)</f>
        <v>14.50323529563542</v>
      </c>
      <c r="D42" s="458">
        <f>VLOOKUP($A42,'Brd Tbl'!$A$8:$AX$64,34)</f>
        <v>12.511092697732716</v>
      </c>
      <c r="E42" s="7">
        <v>41</v>
      </c>
      <c r="F42" s="7">
        <v>39</v>
      </c>
      <c r="G42" s="576">
        <v>1.9517833759301055</v>
      </c>
      <c r="H42" s="576">
        <v>0.68456453194500955</v>
      </c>
      <c r="I42" s="577">
        <v>0.22862082737725259</v>
      </c>
      <c r="J42" s="7">
        <v>11.915748128170829</v>
      </c>
      <c r="K42" s="7">
        <v>0.67374889585141073</v>
      </c>
      <c r="L42" s="7">
        <v>0.18692353558368138</v>
      </c>
      <c r="M42" s="576">
        <v>0.47817298096257521</v>
      </c>
      <c r="N42" s="440">
        <f t="shared" si="1"/>
        <v>0.59534456956188642</v>
      </c>
      <c r="O42" s="440">
        <f t="shared" si="2"/>
        <v>0.35443515650682783</v>
      </c>
      <c r="P42" s="465">
        <f t="shared" si="3"/>
        <v>11.915748128170829</v>
      </c>
      <c r="Q42" s="440">
        <f t="shared" si="20"/>
        <v>11.041841266522715</v>
      </c>
      <c r="R42" s="440">
        <f t="shared" si="5"/>
        <v>12.789654989818944</v>
      </c>
      <c r="S42" s="466">
        <f t="shared" si="19"/>
        <v>121726.28482813161</v>
      </c>
      <c r="T42" s="440">
        <f t="shared" si="7"/>
        <v>14817288418.059423</v>
      </c>
      <c r="U42" s="466">
        <f t="shared" si="8"/>
        <v>149604.15649152896</v>
      </c>
      <c r="V42" s="467">
        <f t="shared" si="9"/>
        <v>62432.500900180909</v>
      </c>
      <c r="W42" s="467">
        <f t="shared" si="10"/>
        <v>358489.62186099187</v>
      </c>
      <c r="X42" s="468">
        <f t="shared" si="11"/>
        <v>-0.44862745306459406</v>
      </c>
      <c r="Y42" s="468">
        <f t="shared" si="12"/>
        <v>0.44862745306459406</v>
      </c>
      <c r="Z42" s="471">
        <f t="shared" si="13"/>
        <v>14.50323529563542</v>
      </c>
      <c r="AA42" s="480">
        <f t="shared" si="14"/>
        <v>11.931436287780151</v>
      </c>
      <c r="AB42" s="473">
        <f t="shared" si="15"/>
        <v>12.511092697732716</v>
      </c>
      <c r="AC42" s="801">
        <f t="shared" si="16"/>
        <v>97</v>
      </c>
      <c r="AD42" s="435">
        <f t="shared" si="17"/>
        <v>11.057529426132037</v>
      </c>
      <c r="AE42" s="441">
        <f t="shared" si="18"/>
        <v>12.805343149428266</v>
      </c>
      <c r="AH42" s="54" t="s">
        <v>182</v>
      </c>
      <c r="AI42" s="510">
        <f>X65</f>
        <v>0</v>
      </c>
    </row>
    <row r="43" spans="1:35" ht="15.75">
      <c r="A43" s="134">
        <v>1992</v>
      </c>
      <c r="B43" s="671">
        <f t="shared" si="0"/>
        <v>1998</v>
      </c>
      <c r="C43" s="458">
        <f>VLOOKUP($A43,'Brd Tbl'!$A$8:$AX$64,23)</f>
        <v>14.697313220380199</v>
      </c>
      <c r="D43" s="458">
        <f>VLOOKUP($A43,'Brd Tbl'!$A$8:$AX$64,34)</f>
        <v>11.253294061849042</v>
      </c>
      <c r="E43" s="7">
        <v>41</v>
      </c>
      <c r="F43" s="7">
        <v>39</v>
      </c>
      <c r="G43" s="576">
        <v>0.18971931173253864</v>
      </c>
      <c r="H43" s="576">
        <v>0.81511637909400325</v>
      </c>
      <c r="I43" s="577">
        <v>0.22799024236525231</v>
      </c>
      <c r="J43" s="7">
        <v>12.11423923555995</v>
      </c>
      <c r="K43" s="7">
        <v>0.66700464415255434</v>
      </c>
      <c r="L43" s="7">
        <v>0.24684591667426922</v>
      </c>
      <c r="M43" s="576">
        <v>0.46844456061428702</v>
      </c>
      <c r="N43" s="440">
        <f t="shared" si="1"/>
        <v>-0.86094517371090795</v>
      </c>
      <c r="O43" s="440">
        <f t="shared" si="2"/>
        <v>0.74122659213610542</v>
      </c>
      <c r="P43" s="465">
        <f t="shared" si="3"/>
        <v>12.11423923555995</v>
      </c>
      <c r="Q43" s="440">
        <f t="shared" si="20"/>
        <v>11.240332373911835</v>
      </c>
      <c r="R43" s="440">
        <f t="shared" si="5"/>
        <v>12.988146097208064</v>
      </c>
      <c r="S43" s="466">
        <f t="shared" si="19"/>
        <v>-105317.83742557104</v>
      </c>
      <c r="T43" s="440">
        <f t="shared" si="7"/>
        <v>11091846879.999012</v>
      </c>
      <c r="U43" s="466">
        <f t="shared" si="8"/>
        <v>182451.42196525889</v>
      </c>
      <c r="V43" s="467">
        <f t="shared" si="9"/>
        <v>76140.254610708624</v>
      </c>
      <c r="W43" s="467">
        <f t="shared" si="10"/>
        <v>437200.02707297413</v>
      </c>
      <c r="X43" s="468">
        <f t="shared" si="11"/>
        <v>1.3653953469695346</v>
      </c>
      <c r="Y43" s="468">
        <f t="shared" si="12"/>
        <v>1.3653953469695346</v>
      </c>
      <c r="Z43" s="471">
        <f t="shared" si="13"/>
        <v>14.697313220380199</v>
      </c>
      <c r="AA43" s="480">
        <f t="shared" si="14"/>
        <v>12.07403826636574</v>
      </c>
      <c r="AB43" s="473">
        <f t="shared" si="15"/>
        <v>11.253294061849042</v>
      </c>
      <c r="AC43" s="801">
        <f t="shared" si="16"/>
        <v>98</v>
      </c>
      <c r="AD43" s="435">
        <f t="shared" si="17"/>
        <v>11.200131404717625</v>
      </c>
      <c r="AE43" s="441">
        <f t="shared" si="18"/>
        <v>12.947945128013854</v>
      </c>
      <c r="AH43" s="54" t="s">
        <v>182</v>
      </c>
      <c r="AI43" s="510">
        <f>X66</f>
        <v>0</v>
      </c>
    </row>
    <row r="44" spans="1:35" ht="15.75">
      <c r="A44" s="134">
        <v>1993</v>
      </c>
      <c r="B44" s="671">
        <f t="shared" si="0"/>
        <v>1999</v>
      </c>
      <c r="C44" s="458">
        <f>VLOOKUP($A44,'Brd Tbl'!$A$8:$AX$64,23)</f>
        <v>13.922491248798858</v>
      </c>
      <c r="D44" s="458">
        <f>VLOOKUP($A44,'Brd Tbl'!$A$8:$AX$64,34)</f>
        <v>11.146441355660475</v>
      </c>
      <c r="E44" s="7">
        <v>41</v>
      </c>
      <c r="F44" s="7">
        <v>39</v>
      </c>
      <c r="G44" s="576">
        <v>1.0303385257524464</v>
      </c>
      <c r="H44" s="576">
        <v>0.75343263820845741</v>
      </c>
      <c r="I44" s="577">
        <v>0.22236381146924208</v>
      </c>
      <c r="J44" s="7">
        <v>11.653694614918814</v>
      </c>
      <c r="K44" s="7">
        <v>0.67489944799733825</v>
      </c>
      <c r="L44" s="7">
        <v>0.22742438518772842</v>
      </c>
      <c r="M44" s="576">
        <v>0.48019117770166181</v>
      </c>
      <c r="N44" s="440">
        <f t="shared" si="1"/>
        <v>-0.50725325925833964</v>
      </c>
      <c r="O44" s="440">
        <f t="shared" si="2"/>
        <v>0.25730586902820834</v>
      </c>
      <c r="P44" s="465">
        <f t="shared" si="3"/>
        <v>11.653694614918814</v>
      </c>
      <c r="Q44" s="440">
        <f t="shared" si="20"/>
        <v>10.7797877532707</v>
      </c>
      <c r="R44" s="440">
        <f t="shared" si="5"/>
        <v>12.527601476566929</v>
      </c>
      <c r="S44" s="466">
        <f t="shared" si="19"/>
        <v>-45799.172092438341</v>
      </c>
      <c r="T44" s="440">
        <f t="shared" si="7"/>
        <v>2097564164.352783</v>
      </c>
      <c r="U44" s="466">
        <f t="shared" si="8"/>
        <v>115115.88722239117</v>
      </c>
      <c r="V44" s="467">
        <f t="shared" si="9"/>
        <v>48039.92683882422</v>
      </c>
      <c r="W44" s="467">
        <f t="shared" si="10"/>
        <v>275846.95404425013</v>
      </c>
      <c r="X44" s="468">
        <f t="shared" si="11"/>
        <v>0.66072334799154098</v>
      </c>
      <c r="Y44" s="468">
        <f t="shared" si="12"/>
        <v>0.66072334799154098</v>
      </c>
      <c r="Z44" s="471">
        <f t="shared" si="13"/>
        <v>13.922491248798858</v>
      </c>
      <c r="AA44" s="480">
        <f t="shared" si="14"/>
        <v>11.504724953971314</v>
      </c>
      <c r="AB44" s="473">
        <f t="shared" si="15"/>
        <v>11.146441355660475</v>
      </c>
      <c r="AC44" s="801">
        <f t="shared" si="16"/>
        <v>99</v>
      </c>
      <c r="AD44" s="435">
        <f t="shared" si="17"/>
        <v>10.630818092323199</v>
      </c>
      <c r="AE44" s="441">
        <f t="shared" si="18"/>
        <v>12.378631815619428</v>
      </c>
      <c r="AH44" s="54" t="s">
        <v>182</v>
      </c>
      <c r="AI44" s="510">
        <f>X67</f>
        <v>0</v>
      </c>
    </row>
    <row r="45" spans="1:35" ht="15.75">
      <c r="A45" s="134">
        <v>1994</v>
      </c>
      <c r="B45" s="671">
        <f t="shared" si="0"/>
        <v>2000</v>
      </c>
      <c r="C45" s="458">
        <f>VLOOKUP($A45,'Brd Tbl'!$A$8:$AX$64,23)</f>
        <v>14.011595524522779</v>
      </c>
      <c r="D45" s="458">
        <f>VLOOKUP($A45,'Brd Tbl'!$A$8:$AX$64,34)</f>
        <v>11.401999710839833</v>
      </c>
      <c r="E45" s="7">
        <v>41</v>
      </c>
      <c r="F45" s="7">
        <v>39</v>
      </c>
      <c r="G45" s="576">
        <v>1.2430468345305794</v>
      </c>
      <c r="H45" s="576">
        <v>0.73734185643943073</v>
      </c>
      <c r="I45" s="577">
        <v>0.22274546125276951</v>
      </c>
      <c r="J45" s="7">
        <v>11.509679798946113</v>
      </c>
      <c r="K45" s="7">
        <v>0.6793512706395195</v>
      </c>
      <c r="L45" s="7">
        <v>0.21933981481168968</v>
      </c>
      <c r="M45" s="576">
        <v>0.48614550519940408</v>
      </c>
      <c r="N45" s="440">
        <f t="shared" si="1"/>
        <v>-0.10768008810627983</v>
      </c>
      <c r="O45" s="440">
        <f t="shared" si="2"/>
        <v>1.1595001374576187E-2</v>
      </c>
      <c r="P45" s="465">
        <f t="shared" si="3"/>
        <v>11.509679798946113</v>
      </c>
      <c r="Q45" s="440">
        <f t="shared" si="20"/>
        <v>10.635772937297999</v>
      </c>
      <c r="R45" s="440">
        <f t="shared" si="5"/>
        <v>12.383586660594228</v>
      </c>
      <c r="S45" s="466">
        <f t="shared" si="19"/>
        <v>-10175.439855457822</v>
      </c>
      <c r="T45" s="440">
        <f t="shared" si="7"/>
        <v>103539576.25203951</v>
      </c>
      <c r="U45" s="466">
        <f t="shared" si="8"/>
        <v>99675.959545597972</v>
      </c>
      <c r="V45" s="467">
        <f t="shared" si="9"/>
        <v>41596.567769220412</v>
      </c>
      <c r="W45" s="467">
        <f t="shared" si="10"/>
        <v>238848.95904049455</v>
      </c>
      <c r="X45" s="468">
        <f t="shared" si="11"/>
        <v>0.11369140526430711</v>
      </c>
      <c r="Y45" s="468">
        <f t="shared" si="12"/>
        <v>0.11369140526430711</v>
      </c>
      <c r="Z45" s="471">
        <f t="shared" si="13"/>
        <v>14.011595524522779</v>
      </c>
      <c r="AA45" s="480">
        <f t="shared" si="14"/>
        <v>11.570195800464425</v>
      </c>
      <c r="AB45" s="473">
        <f t="shared" si="15"/>
        <v>11.401999710839833</v>
      </c>
      <c r="AC45" s="799" t="s">
        <v>315</v>
      </c>
      <c r="AD45" s="435">
        <f t="shared" si="17"/>
        <v>10.696288938816311</v>
      </c>
      <c r="AE45" s="441">
        <f t="shared" si="18"/>
        <v>12.44410266211254</v>
      </c>
      <c r="AH45" s="54" t="s">
        <v>182</v>
      </c>
      <c r="AI45" s="510">
        <f>X68</f>
        <v>0</v>
      </c>
    </row>
    <row r="46" spans="1:35" ht="15.75">
      <c r="A46" s="134">
        <v>1995</v>
      </c>
      <c r="B46" s="671">
        <f t="shared" si="0"/>
        <v>2001</v>
      </c>
      <c r="C46" s="458">
        <f>VLOOKUP($A46,'Brd Tbl'!$A$8:$AX$64,23)</f>
        <v>13.74269233377956</v>
      </c>
      <c r="D46" s="458">
        <f>VLOOKUP($A46,'Brd Tbl'!$A$8:$AX$64,34)</f>
        <v>11.000829021215486</v>
      </c>
      <c r="E46" s="7">
        <v>41</v>
      </c>
      <c r="F46" s="7">
        <v>39</v>
      </c>
      <c r="G46" s="576">
        <v>1.2618783103735147</v>
      </c>
      <c r="H46" s="576">
        <v>0.73647970215659031</v>
      </c>
      <c r="I46" s="577">
        <v>0.22139830612613837</v>
      </c>
      <c r="J46" s="7">
        <v>11.424349929167906</v>
      </c>
      <c r="K46" s="7">
        <v>0.67616096211317422</v>
      </c>
      <c r="L46" s="7">
        <v>0.22102122974636348</v>
      </c>
      <c r="M46" s="576">
        <v>0.48193248551185858</v>
      </c>
      <c r="N46" s="475">
        <f t="shared" si="1"/>
        <v>-0.4235209079524207</v>
      </c>
      <c r="O46" s="440">
        <f t="shared" si="2"/>
        <v>0.17936995947284282</v>
      </c>
      <c r="P46" s="465">
        <f t="shared" si="3"/>
        <v>11.424349929167906</v>
      </c>
      <c r="Q46" s="440">
        <f t="shared" si="20"/>
        <v>10.550443067519792</v>
      </c>
      <c r="R46" s="440">
        <f t="shared" si="5"/>
        <v>12.298256790816021</v>
      </c>
      <c r="S46" s="466">
        <f t="shared" ref="S46:S59" si="21">EXP(D46)-$E$46</f>
        <v>59882.799229661185</v>
      </c>
      <c r="T46" s="440">
        <f t="shared" si="7"/>
        <v>3585949643.5799103</v>
      </c>
      <c r="U46" s="466">
        <f t="shared" si="8"/>
        <v>91523.397519229766</v>
      </c>
      <c r="V46" s="467">
        <f t="shared" si="9"/>
        <v>38194.35724254408</v>
      </c>
      <c r="W46" s="467">
        <f t="shared" si="10"/>
        <v>219313.34621681939</v>
      </c>
      <c r="X46" s="468">
        <f t="shared" si="11"/>
        <v>0.52732968696563143</v>
      </c>
      <c r="Y46" s="468">
        <f t="shared" si="12"/>
        <v>0.52732968696563143</v>
      </c>
      <c r="Z46" s="471">
        <f t="shared" si="13"/>
        <v>13.74269233377956</v>
      </c>
      <c r="AA46" s="480">
        <f t="shared" si="14"/>
        <v>11.372614714937114</v>
      </c>
      <c r="AB46" s="473">
        <f t="shared" si="15"/>
        <v>11.000829021215486</v>
      </c>
      <c r="AC46" s="799" t="s">
        <v>316</v>
      </c>
      <c r="AD46" s="435">
        <f t="shared" si="17"/>
        <v>10.498707853289</v>
      </c>
      <c r="AE46" s="441">
        <f t="shared" si="18"/>
        <v>12.246521576585229</v>
      </c>
      <c r="AH46" s="54"/>
      <c r="AI46" s="11"/>
    </row>
    <row r="47" spans="1:35" ht="15.75">
      <c r="A47" s="134">
        <v>1996</v>
      </c>
      <c r="B47" s="671">
        <f t="shared" si="0"/>
        <v>2002</v>
      </c>
      <c r="C47" s="458">
        <f>VLOOKUP($A47,'Brd Tbl'!$A$8:$AX$64,23)</f>
        <v>14.32895948682159</v>
      </c>
      <c r="D47" s="458">
        <f>VLOOKUP($A47,'Brd Tbl'!$A$8:$AX$64,34)</f>
        <v>11.14150094542507</v>
      </c>
      <c r="E47" s="7">
        <v>41</v>
      </c>
      <c r="F47" s="7">
        <v>39</v>
      </c>
      <c r="G47" s="576">
        <v>0.98954358293541311</v>
      </c>
      <c r="H47" s="576">
        <v>0.7564482698150351</v>
      </c>
      <c r="I47" s="577">
        <v>0.22246866427067055</v>
      </c>
      <c r="J47" s="7">
        <v>11.680509081841954</v>
      </c>
      <c r="K47" s="7">
        <v>0.67433548989905578</v>
      </c>
      <c r="L47" s="7">
        <v>0.22866480057091959</v>
      </c>
      <c r="M47" s="576">
        <v>0.47942137075656382</v>
      </c>
      <c r="N47" s="475">
        <f t="shared" si="1"/>
        <v>-0.53900813641688394</v>
      </c>
      <c r="O47" s="440">
        <f t="shared" si="2"/>
        <v>0.29052977112360218</v>
      </c>
      <c r="P47" s="465">
        <f t="shared" si="3"/>
        <v>11.680509081841954</v>
      </c>
      <c r="Q47" s="440">
        <f t="shared" si="20"/>
        <v>10.80660222019384</v>
      </c>
      <c r="R47" s="440">
        <f t="shared" si="5"/>
        <v>12.554415943490069</v>
      </c>
      <c r="S47" s="466">
        <f t="shared" si="21"/>
        <v>68934.106658855249</v>
      </c>
      <c r="T47" s="440">
        <f t="shared" si="7"/>
        <v>4751911060.8544321</v>
      </c>
      <c r="U47" s="466">
        <f t="shared" si="8"/>
        <v>118244.41583328519</v>
      </c>
      <c r="V47" s="467">
        <f t="shared" si="9"/>
        <v>49345.518006185557</v>
      </c>
      <c r="W47" s="467">
        <f t="shared" si="10"/>
        <v>283343.70456912077</v>
      </c>
      <c r="X47" s="468">
        <f t="shared" si="11"/>
        <v>0.71430566128895712</v>
      </c>
      <c r="Y47" s="468">
        <f t="shared" si="12"/>
        <v>0.71430566128895712</v>
      </c>
      <c r="Z47" s="471">
        <f t="shared" si="13"/>
        <v>14.32895948682159</v>
      </c>
      <c r="AA47" s="480">
        <f t="shared" si="14"/>
        <v>11.803384242761958</v>
      </c>
      <c r="AB47" s="473">
        <f t="shared" si="15"/>
        <v>11.14150094542507</v>
      </c>
      <c r="AC47" s="799" t="s">
        <v>324</v>
      </c>
      <c r="AD47" s="435">
        <f t="shared" si="17"/>
        <v>10.929477381113843</v>
      </c>
      <c r="AE47" s="441">
        <f t="shared" si="18"/>
        <v>12.677291104410072</v>
      </c>
      <c r="AH47" s="54"/>
      <c r="AI47" s="11"/>
    </row>
    <row r="48" spans="1:35" ht="15.75">
      <c r="A48" s="134">
        <v>1997</v>
      </c>
      <c r="B48" s="671">
        <f t="shared" si="0"/>
        <v>2003</v>
      </c>
      <c r="C48" s="458">
        <f>VLOOKUP($A48,'Brd Tbl'!$A$8:$AX$64,23)</f>
        <v>14.039363355788447</v>
      </c>
      <c r="D48" s="458">
        <f>VLOOKUP($A48,'Brd Tbl'!$A$8:$AX$64,34)</f>
        <v>10.654471468435247</v>
      </c>
      <c r="E48" s="7">
        <v>41</v>
      </c>
      <c r="F48" s="7">
        <v>39</v>
      </c>
      <c r="G48" s="576">
        <v>0.68269382627435959</v>
      </c>
      <c r="H48" s="576">
        <v>0.77968563714289474</v>
      </c>
      <c r="I48" s="577">
        <v>0.21717089163560138</v>
      </c>
      <c r="J48" s="7">
        <v>11.712899009843685</v>
      </c>
      <c r="K48" s="7">
        <v>0.65789239598050586</v>
      </c>
      <c r="L48" s="7">
        <v>0.24840275646672419</v>
      </c>
      <c r="M48" s="997">
        <v>0.45771506432103248</v>
      </c>
      <c r="N48" s="475">
        <f t="shared" si="1"/>
        <v>-1.0584275414084381</v>
      </c>
      <c r="O48" s="440">
        <f t="shared" si="2"/>
        <v>1.1202688604119109</v>
      </c>
      <c r="P48" s="465">
        <f t="shared" si="3"/>
        <v>11.712899009843685</v>
      </c>
      <c r="Q48" s="440">
        <f t="shared" si="20"/>
        <v>10.838992148195571</v>
      </c>
      <c r="R48" s="440">
        <f t="shared" si="5"/>
        <v>12.5868058714918</v>
      </c>
      <c r="S48" s="466">
        <f t="shared" si="21"/>
        <v>42340.679832948343</v>
      </c>
      <c r="T48" s="440">
        <f t="shared" si="7"/>
        <v>1792733168.7162385</v>
      </c>
      <c r="U48" s="466">
        <f t="shared" si="8"/>
        <v>122137.04462230524</v>
      </c>
      <c r="V48" s="467">
        <f t="shared" si="9"/>
        <v>50969.981898593018</v>
      </c>
      <c r="W48" s="467">
        <f t="shared" si="10"/>
        <v>292671.43352630397</v>
      </c>
      <c r="X48" s="468">
        <f t="shared" si="11"/>
        <v>1.8818358569957749</v>
      </c>
      <c r="Y48" s="468">
        <f t="shared" si="12"/>
        <v>1.8818358569957749</v>
      </c>
      <c r="Z48" s="471">
        <f t="shared" si="13"/>
        <v>14.039363355788447</v>
      </c>
      <c r="AA48" s="480">
        <f t="shared" si="14"/>
        <v>11.590598675674073</v>
      </c>
      <c r="AB48" s="473">
        <f t="shared" si="15"/>
        <v>10.654471468435247</v>
      </c>
      <c r="AC48" s="799" t="s">
        <v>349</v>
      </c>
      <c r="AD48" s="435">
        <f t="shared" si="17"/>
        <v>10.716691814025959</v>
      </c>
      <c r="AE48" s="441">
        <f t="shared" si="18"/>
        <v>12.464505537322188</v>
      </c>
      <c r="AH48" s="54"/>
      <c r="AI48" s="11"/>
    </row>
    <row r="49" spans="1:35" ht="15.75">
      <c r="A49" s="134">
        <v>1998</v>
      </c>
      <c r="B49" s="671">
        <f t="shared" si="0"/>
        <v>2004</v>
      </c>
      <c r="C49" s="458">
        <f>VLOOKUP($A49,'Brd Tbl'!$A$8:$AX$64,23)</f>
        <v>14.137569843559483</v>
      </c>
      <c r="D49" s="458">
        <f>VLOOKUP($A49,'Brd Tbl'!$A$8:$AX$64,34)</f>
        <v>11.220704201581443</v>
      </c>
      <c r="E49" s="7">
        <v>41</v>
      </c>
      <c r="F49" s="7">
        <v>39</v>
      </c>
      <c r="G49" s="576">
        <v>1.047309691203564</v>
      </c>
      <c r="H49" s="576">
        <v>0.75210077899844197</v>
      </c>
      <c r="I49" s="577">
        <v>0.22282785763062224</v>
      </c>
      <c r="J49" s="7">
        <v>11.663077088795891</v>
      </c>
      <c r="K49" s="7">
        <v>0.67592186438272528</v>
      </c>
      <c r="L49" s="7">
        <v>0.22607291987034095</v>
      </c>
      <c r="M49" s="997">
        <v>0.48154812623605914</v>
      </c>
      <c r="N49" s="475">
        <f t="shared" si="1"/>
        <v>-0.44237288721444834</v>
      </c>
      <c r="O49" s="440">
        <f t="shared" si="2"/>
        <v>0.19569377134244703</v>
      </c>
      <c r="P49" s="465">
        <f t="shared" si="3"/>
        <v>11.663077088795891</v>
      </c>
      <c r="Q49" s="440">
        <f t="shared" si="20"/>
        <v>10.789170227147777</v>
      </c>
      <c r="R49" s="440">
        <f t="shared" si="5"/>
        <v>12.536983950444005</v>
      </c>
      <c r="S49" s="466">
        <f t="shared" si="21"/>
        <v>74619.332171505652</v>
      </c>
      <c r="T49" s="440">
        <f t="shared" si="7"/>
        <v>5568044733.7214985</v>
      </c>
      <c r="U49" s="466">
        <f t="shared" si="8"/>
        <v>116201.04178367858</v>
      </c>
      <c r="V49" s="467">
        <f t="shared" si="9"/>
        <v>48492.781323039351</v>
      </c>
      <c r="W49" s="467">
        <f t="shared" si="10"/>
        <v>278447.2604625994</v>
      </c>
      <c r="X49" s="468">
        <f t="shared" si="11"/>
        <v>0.55639599240930071</v>
      </c>
      <c r="Y49" s="468">
        <f t="shared" si="12"/>
        <v>0.55639599240930071</v>
      </c>
      <c r="Z49" s="471">
        <f t="shared" si="13"/>
        <v>14.137569843559483</v>
      </c>
      <c r="AA49" s="480">
        <f t="shared" si="14"/>
        <v>11.662757523644585</v>
      </c>
      <c r="AB49" s="473">
        <f t="shared" si="15"/>
        <v>11.220704201581443</v>
      </c>
      <c r="AC49" s="799" t="s">
        <v>350</v>
      </c>
      <c r="AD49" s="435">
        <f t="shared" si="17"/>
        <v>10.78885066199647</v>
      </c>
      <c r="AE49" s="441">
        <f t="shared" si="18"/>
        <v>12.536664385292699</v>
      </c>
      <c r="AH49" s="54"/>
      <c r="AI49" s="11"/>
    </row>
    <row r="50" spans="1:35" ht="15.75">
      <c r="A50" s="134">
        <v>1999</v>
      </c>
      <c r="B50" s="671">
        <f t="shared" si="0"/>
        <v>2005</v>
      </c>
      <c r="C50" s="458">
        <f>VLOOKUP($A50,'Brd Tbl'!$A$8:$AX$64,23)</f>
        <v>13.811698053073718</v>
      </c>
      <c r="D50" s="458">
        <f>VLOOKUP($A50,'Brd Tbl'!$A$8:$AX$64,34)</f>
        <v>12.063667836941788</v>
      </c>
      <c r="E50" s="7">
        <v>41</v>
      </c>
      <c r="F50" s="7">
        <v>39</v>
      </c>
      <c r="G50" s="576">
        <v>1.4164219179483855</v>
      </c>
      <c r="H50" s="576">
        <v>0.72354488977523812</v>
      </c>
      <c r="I50" s="577">
        <v>0.2212238702250503</v>
      </c>
      <c r="J50" s="7">
        <v>11.513364996687166</v>
      </c>
      <c r="K50" s="7">
        <v>0.67430339174259923</v>
      </c>
      <c r="L50" s="7">
        <v>0.21524632314766531</v>
      </c>
      <c r="M50" s="997">
        <v>0.47945940608814447</v>
      </c>
      <c r="N50" s="475">
        <f t="shared" si="1"/>
        <v>0.55030284025462173</v>
      </c>
      <c r="O50" s="440">
        <f t="shared" si="2"/>
        <v>0.30283321599230373</v>
      </c>
      <c r="P50" s="465">
        <f t="shared" si="3"/>
        <v>11.513364996687166</v>
      </c>
      <c r="Q50" s="440">
        <f t="shared" si="20"/>
        <v>10.639458135039051</v>
      </c>
      <c r="R50" s="440">
        <f t="shared" si="5"/>
        <v>12.38727185833528</v>
      </c>
      <c r="S50" s="466">
        <f t="shared" si="21"/>
        <v>173413.02140575508</v>
      </c>
      <c r="T50" s="440">
        <f t="shared" si="7"/>
        <v>30072075993.072868</v>
      </c>
      <c r="U50" s="466">
        <f t="shared" si="8"/>
        <v>100043.96283251561</v>
      </c>
      <c r="V50" s="467">
        <f t="shared" si="9"/>
        <v>41750.142148974068</v>
      </c>
      <c r="W50" s="467">
        <f t="shared" si="10"/>
        <v>239730.78854486515</v>
      </c>
      <c r="X50" s="468">
        <f t="shared" si="11"/>
        <v>-0.42322488679298947</v>
      </c>
      <c r="Y50" s="468">
        <f t="shared" si="12"/>
        <v>0.42322488679298947</v>
      </c>
      <c r="Z50" s="471">
        <f t="shared" si="13"/>
        <v>13.811698053073718</v>
      </c>
      <c r="AA50" s="480">
        <f t="shared" si="14"/>
        <v>11.423317813282839</v>
      </c>
      <c r="AB50" s="473">
        <f t="shared" si="15"/>
        <v>12.063667836941788</v>
      </c>
      <c r="AC50" s="799" t="s">
        <v>351</v>
      </c>
      <c r="AD50" s="435">
        <f t="shared" si="17"/>
        <v>10.549410951634725</v>
      </c>
      <c r="AE50" s="441">
        <f t="shared" si="18"/>
        <v>12.297224674930954</v>
      </c>
      <c r="AH50" s="54"/>
      <c r="AI50" s="11"/>
    </row>
    <row r="51" spans="1:35" ht="15.75">
      <c r="A51" s="134">
        <v>2000</v>
      </c>
      <c r="B51" s="671">
        <f t="shared" si="0"/>
        <v>2006</v>
      </c>
      <c r="C51" s="458">
        <f>VLOOKUP($A51,'Brd Tbl'!$A$8:$AX$64,23)</f>
        <v>14.176239858706381</v>
      </c>
      <c r="D51" s="458">
        <f>VLOOKUP($A51,'Brd Tbl'!$A$8:$AX$64,34)</f>
        <v>12.204299814724289</v>
      </c>
      <c r="E51" s="7">
        <v>41</v>
      </c>
      <c r="F51" s="7">
        <v>39</v>
      </c>
      <c r="G51" s="576">
        <v>1.498829268918918</v>
      </c>
      <c r="H51" s="576">
        <v>0.71732711222702761</v>
      </c>
      <c r="I51" s="577">
        <v>0.22049526151837909</v>
      </c>
      <c r="J51" s="7">
        <v>11.543362965541514</v>
      </c>
      <c r="K51" s="7">
        <v>0.67131450743660848</v>
      </c>
      <c r="L51" s="7">
        <v>0.2134505950177033</v>
      </c>
      <c r="M51" s="997">
        <v>0.47549885394594543</v>
      </c>
      <c r="N51" s="475">
        <f t="shared" si="1"/>
        <v>0.66093684918277518</v>
      </c>
      <c r="O51" s="440">
        <f t="shared" si="2"/>
        <v>0.43683751860765452</v>
      </c>
      <c r="P51" s="465">
        <f t="shared" si="3"/>
        <v>11.543362965541514</v>
      </c>
      <c r="Q51" s="440">
        <f t="shared" si="20"/>
        <v>10.669456103893399</v>
      </c>
      <c r="R51" s="440">
        <f t="shared" si="5"/>
        <v>12.417269827189628</v>
      </c>
      <c r="S51" s="466">
        <f t="shared" si="21"/>
        <v>199604.74794608253</v>
      </c>
      <c r="T51" s="440">
        <f t="shared" si="7"/>
        <v>39842055402.619133</v>
      </c>
      <c r="U51" s="466">
        <f t="shared" si="8"/>
        <v>103090.54570331649</v>
      </c>
      <c r="V51" s="467">
        <f t="shared" si="9"/>
        <v>43021.535887519836</v>
      </c>
      <c r="W51" s="467">
        <f t="shared" si="10"/>
        <v>247031.17622749897</v>
      </c>
      <c r="X51" s="468">
        <f t="shared" si="11"/>
        <v>-0.48363265051275867</v>
      </c>
      <c r="Y51" s="468">
        <f t="shared" si="12"/>
        <v>0.48363265051275867</v>
      </c>
      <c r="Z51" s="471">
        <f t="shared" si="13"/>
        <v>14.176239858706381</v>
      </c>
      <c r="AA51" s="480">
        <f t="shared" si="14"/>
        <v>11.691170959531918</v>
      </c>
      <c r="AB51" s="473">
        <f t="shared" si="15"/>
        <v>12.204299814724289</v>
      </c>
      <c r="AC51" s="799" t="s">
        <v>361</v>
      </c>
      <c r="AD51" s="435">
        <f t="shared" si="17"/>
        <v>10.817264097883804</v>
      </c>
      <c r="AE51" s="441">
        <f t="shared" si="18"/>
        <v>12.565077821180033</v>
      </c>
      <c r="AH51" s="54"/>
      <c r="AI51" s="11"/>
    </row>
    <row r="52" spans="1:35" ht="15.75">
      <c r="A52" s="134">
        <v>2001</v>
      </c>
      <c r="B52" s="671">
        <f t="shared" si="0"/>
        <v>2007</v>
      </c>
      <c r="C52" s="458">
        <f>VLOOKUP($A52,'Brd Tbl'!$A$8:$AX$64,23)</f>
        <v>14.202399903364208</v>
      </c>
      <c r="D52" s="458">
        <f>VLOOKUP($A52,'Brd Tbl'!$A$8:$AX$64,34)</f>
        <v>12.576248535357729</v>
      </c>
      <c r="E52" s="7">
        <v>41</v>
      </c>
      <c r="F52" s="7">
        <v>39</v>
      </c>
      <c r="G52" s="576">
        <v>1.8309680820447767</v>
      </c>
      <c r="H52" s="576">
        <v>0.69280598500401669</v>
      </c>
      <c r="I52" s="577">
        <v>0.22000271857839718</v>
      </c>
      <c r="J52" s="7">
        <v>11.666612927064941</v>
      </c>
      <c r="K52" s="7">
        <v>0.66495156527481625</v>
      </c>
      <c r="L52" s="7">
        <v>0.20272626416923323</v>
      </c>
      <c r="M52" s="997">
        <v>0.46687427919140423</v>
      </c>
      <c r="N52" s="475">
        <f t="shared" si="1"/>
        <v>0.90963560829278833</v>
      </c>
      <c r="O52" s="440">
        <f t="shared" si="2"/>
        <v>0.82743693987419109</v>
      </c>
      <c r="P52" s="465">
        <f t="shared" si="3"/>
        <v>11.666612927064941</v>
      </c>
      <c r="Q52" s="440">
        <f t="shared" si="20"/>
        <v>10.792706065416827</v>
      </c>
      <c r="R52" s="440">
        <f t="shared" si="5"/>
        <v>12.540519788713056</v>
      </c>
      <c r="S52" s="466">
        <f t="shared" si="21"/>
        <v>289556.85577016149</v>
      </c>
      <c r="T52" s="440">
        <f t="shared" si="7"/>
        <v>83843172723.502106</v>
      </c>
      <c r="U52" s="466">
        <f t="shared" si="8"/>
        <v>116612.63711255953</v>
      </c>
      <c r="V52" s="467">
        <f t="shared" si="9"/>
        <v>48664.547444673313</v>
      </c>
      <c r="W52" s="467">
        <f t="shared" si="10"/>
        <v>279433.54759038147</v>
      </c>
      <c r="X52" s="468">
        <f t="shared" si="11"/>
        <v>-0.59732907275008007</v>
      </c>
      <c r="Y52" s="468">
        <f t="shared" si="12"/>
        <v>0.59732907275008007</v>
      </c>
      <c r="Z52" s="471">
        <f t="shared" si="13"/>
        <v>14.202399903364208</v>
      </c>
      <c r="AA52" s="480">
        <f t="shared" si="14"/>
        <v>11.71039248682823</v>
      </c>
      <c r="AB52" s="473">
        <f t="shared" si="15"/>
        <v>12.576248535357729</v>
      </c>
      <c r="AC52" s="799" t="s">
        <v>362</v>
      </c>
      <c r="AD52" s="435">
        <f t="shared" si="17"/>
        <v>10.836485625180115</v>
      </c>
      <c r="AE52" s="441">
        <f t="shared" si="18"/>
        <v>12.584299348476344</v>
      </c>
      <c r="AH52" s="54"/>
      <c r="AI52" s="11"/>
    </row>
    <row r="53" spans="1:35" ht="15.75">
      <c r="A53" s="134">
        <v>2002</v>
      </c>
      <c r="B53" s="671">
        <f t="shared" si="0"/>
        <v>2008</v>
      </c>
      <c r="C53" s="458">
        <f>VLOOKUP($A53,'Brd Tbl'!$A$8:$AX$64,23)</f>
        <v>14.640443886698622</v>
      </c>
      <c r="D53" s="458">
        <f>VLOOKUP($A53,'Brd Tbl'!$A$8:$AX$64,34)</f>
        <v>11.639129281017061</v>
      </c>
      <c r="E53" s="7">
        <v>41</v>
      </c>
      <c r="F53" s="7">
        <v>39</v>
      </c>
      <c r="G53" s="576">
        <v>0.93875161546207231</v>
      </c>
      <c r="H53" s="576">
        <v>0.75968383022265096</v>
      </c>
      <c r="I53" s="577">
        <v>0.23084493761861638</v>
      </c>
      <c r="J53" s="7">
        <v>12.01844418072336</v>
      </c>
      <c r="K53" s="7">
        <v>0.67839447636027284</v>
      </c>
      <c r="L53" s="7">
        <v>0.21733762017957123</v>
      </c>
      <c r="M53" s="997">
        <v>0.48473648934969071</v>
      </c>
      <c r="N53" s="475">
        <f t="shared" si="1"/>
        <v>-0.37931489970629961</v>
      </c>
      <c r="O53" s="440">
        <f t="shared" si="2"/>
        <v>0.14387979313920013</v>
      </c>
      <c r="P53" s="465">
        <f t="shared" si="3"/>
        <v>12.01844418072336</v>
      </c>
      <c r="Q53" s="440">
        <f t="shared" si="20"/>
        <v>11.144537319075246</v>
      </c>
      <c r="R53" s="440">
        <f t="shared" si="5"/>
        <v>12.892351042371475</v>
      </c>
      <c r="S53" s="466">
        <f t="shared" si="21"/>
        <v>113410.33767517545</v>
      </c>
      <c r="T53" s="440">
        <f t="shared" si="7"/>
        <v>12861904691.597321</v>
      </c>
      <c r="U53" s="466">
        <f t="shared" si="8"/>
        <v>165784.52479108344</v>
      </c>
      <c r="V53" s="467">
        <f t="shared" si="9"/>
        <v>69184.859137529696</v>
      </c>
      <c r="W53" s="467">
        <f t="shared" si="10"/>
        <v>397261.90098284435</v>
      </c>
      <c r="X53" s="468">
        <f t="shared" si="11"/>
        <v>0.4612831209248856</v>
      </c>
      <c r="Y53" s="468">
        <f t="shared" si="12"/>
        <v>0.4612831209248856</v>
      </c>
      <c r="Z53" s="471">
        <f t="shared" si="13"/>
        <v>14.640443886698622</v>
      </c>
      <c r="AA53" s="480">
        <f t="shared" si="14"/>
        <v>12.032252578918278</v>
      </c>
      <c r="AB53" s="473">
        <f t="shared" si="15"/>
        <v>11.639129281017061</v>
      </c>
      <c r="AC53" s="799" t="s">
        <v>363</v>
      </c>
      <c r="AD53" s="435">
        <f t="shared" si="17"/>
        <v>11.158345717270164</v>
      </c>
      <c r="AE53" s="441">
        <f t="shared" si="18"/>
        <v>12.906159440566393</v>
      </c>
      <c r="AH53" s="54"/>
      <c r="AI53" s="11"/>
    </row>
    <row r="54" spans="1:35" ht="15.75">
      <c r="A54" s="134">
        <v>2003</v>
      </c>
      <c r="B54" s="671">
        <f t="shared" ref="B54" si="22">A54+$H$4</f>
        <v>2009</v>
      </c>
      <c r="C54" s="458">
        <f>VLOOKUP($A54,'Brd Tbl'!$A$8:$AX$64,23)</f>
        <v>13.587551950740307</v>
      </c>
      <c r="D54" s="458">
        <f>VLOOKUP($A54,'Brd Tbl'!$A$8:$AX$64,34)</f>
        <v>12.304166427631953</v>
      </c>
      <c r="E54" s="7">
        <v>41</v>
      </c>
      <c r="F54" s="7">
        <v>39</v>
      </c>
      <c r="G54" s="576">
        <v>0.93875161546207231</v>
      </c>
      <c r="H54" s="576">
        <v>0.75968383022265096</v>
      </c>
      <c r="I54" s="577">
        <v>0.23084493761861638</v>
      </c>
      <c r="J54" s="7">
        <v>12.01844418072336</v>
      </c>
      <c r="K54" s="7">
        <v>0.67839447636027284</v>
      </c>
      <c r="L54" s="7">
        <v>0.21733762017957123</v>
      </c>
      <c r="M54" s="997">
        <v>0.48473648934969071</v>
      </c>
      <c r="N54" s="475">
        <f t="shared" ref="N54" si="23">D54-J54</f>
        <v>0.28572224690859294</v>
      </c>
      <c r="O54" s="440">
        <f t="shared" ref="O54" si="24">N54^2</f>
        <v>8.163720237849495E-2</v>
      </c>
      <c r="P54" s="465">
        <f t="shared" ref="P54" si="25">J54</f>
        <v>12.01844418072336</v>
      </c>
      <c r="Q54" s="440">
        <f t="shared" si="20"/>
        <v>11.144537319075246</v>
      </c>
      <c r="R54" s="440">
        <f t="shared" si="5"/>
        <v>12.892351042371475</v>
      </c>
      <c r="S54" s="466">
        <f t="shared" ref="S54" si="26">EXP(D54)-$E$46</f>
        <v>220572.24562543118</v>
      </c>
      <c r="T54" s="440">
        <f t="shared" ref="T54" si="27">S54^2</f>
        <v>48652115540.245544</v>
      </c>
      <c r="U54" s="466">
        <f t="shared" ref="U54" si="28">EXP(P54)</f>
        <v>165784.52479108344</v>
      </c>
      <c r="V54" s="467">
        <f t="shared" ref="V54" si="29">EXP(Q54)</f>
        <v>69184.859137529696</v>
      </c>
      <c r="W54" s="467">
        <f t="shared" ref="W54" si="30">EXP(R54)</f>
        <v>397261.90098284435</v>
      </c>
      <c r="X54" s="468">
        <f t="shared" ref="X54" si="31">(+U54-EXP(D54))/(EXP(D54))</f>
        <v>-0.24852868955764712</v>
      </c>
      <c r="Y54" s="468">
        <f t="shared" ref="Y54" si="32">ABS(X54)</f>
        <v>0.24852868955764712</v>
      </c>
      <c r="Z54" s="471">
        <f t="shared" ref="Z54" si="33">C54</f>
        <v>13.587551950740307</v>
      </c>
      <c r="AA54" s="480">
        <f t="shared" ref="AA54" si="34">(+G$61+H$61*C54)</f>
        <v>11.258622741821075</v>
      </c>
      <c r="AB54" s="473">
        <f t="shared" ref="AB54" si="35">D54</f>
        <v>12.304166427631953</v>
      </c>
      <c r="AC54" s="799" t="s">
        <v>363</v>
      </c>
      <c r="AD54" s="435">
        <f t="shared" ref="AD54" si="36">AA54-SQRT($O$63)*$Q$63</f>
        <v>10.38471588017296</v>
      </c>
      <c r="AE54" s="441">
        <f t="shared" ref="AE54" si="37">AA54+SQRT($O$63)*$Q$63</f>
        <v>12.132529603469189</v>
      </c>
      <c r="AH54" s="54"/>
      <c r="AI54" s="11"/>
    </row>
    <row r="55" spans="1:35" ht="15.75">
      <c r="A55" s="134">
        <v>2004</v>
      </c>
      <c r="B55" s="671">
        <f t="shared" ref="B55" si="38">A55+$H$4</f>
        <v>2010</v>
      </c>
      <c r="C55" s="458">
        <f>VLOOKUP($A55,'Brd Tbl'!$A$8:$AX$64,23)</f>
        <v>13.754121868260308</v>
      </c>
      <c r="D55" s="458">
        <f>VLOOKUP($A55,'Brd Tbl'!$A$8:$AX$64,34)</f>
        <v>11.366689966564724</v>
      </c>
      <c r="E55" s="7">
        <v>41</v>
      </c>
      <c r="F55" s="7">
        <v>39</v>
      </c>
      <c r="G55" s="576">
        <v>0.93875161546207231</v>
      </c>
      <c r="H55" s="576">
        <v>0.75968383022265096</v>
      </c>
      <c r="I55" s="577">
        <v>0.23084493761861638</v>
      </c>
      <c r="J55" s="7">
        <v>12.01844418072336</v>
      </c>
      <c r="K55" s="7">
        <v>0.67839447636027284</v>
      </c>
      <c r="L55" s="7">
        <v>0.21733762017957123</v>
      </c>
      <c r="M55" s="997">
        <v>0.48473648934969071</v>
      </c>
      <c r="N55" s="475">
        <f t="shared" ref="N55" si="39">D55-J55</f>
        <v>-0.6517542141586361</v>
      </c>
      <c r="O55" s="440">
        <f t="shared" ref="O55" si="40">N55^2</f>
        <v>0.42478355567354131</v>
      </c>
      <c r="P55" s="465">
        <f t="shared" ref="P55" si="41">J55</f>
        <v>12.01844418072336</v>
      </c>
      <c r="Q55" s="440">
        <f t="shared" si="20"/>
        <v>11.144537319075246</v>
      </c>
      <c r="R55" s="440">
        <f t="shared" si="5"/>
        <v>12.892351042371475</v>
      </c>
      <c r="S55" s="466">
        <f t="shared" ref="S55" si="42">EXP(D55)-$E$46</f>
        <v>86354.42193844344</v>
      </c>
      <c r="T55" s="440">
        <f t="shared" ref="T55" si="43">S55^2</f>
        <v>7457086188.3227215</v>
      </c>
      <c r="U55" s="466">
        <f t="shared" ref="U55" si="44">EXP(P55)</f>
        <v>165784.52479108344</v>
      </c>
      <c r="V55" s="467">
        <f t="shared" ref="V55" si="45">EXP(Q55)</f>
        <v>69184.859137529696</v>
      </c>
      <c r="W55" s="467">
        <f t="shared" ref="W55" si="46">EXP(R55)</f>
        <v>397261.90098284435</v>
      </c>
      <c r="X55" s="468">
        <f t="shared" ref="X55" si="47">(+U55-EXP(D55))/(EXP(D55))</f>
        <v>0.91890404689735272</v>
      </c>
      <c r="Y55" s="468">
        <f t="shared" ref="Y55" si="48">ABS(X55)</f>
        <v>0.91890404689735272</v>
      </c>
      <c r="Z55" s="471">
        <f t="shared" ref="Z55" si="49">C55</f>
        <v>13.754121868260308</v>
      </c>
      <c r="AA55" s="480">
        <f t="shared" ref="AA55" si="50">(+G$61+H$61*C55)</f>
        <v>11.381012755226397</v>
      </c>
      <c r="AB55" s="473">
        <f t="shared" ref="AB55" si="51">D55</f>
        <v>11.366689966564724</v>
      </c>
      <c r="AC55" s="799" t="s">
        <v>363</v>
      </c>
      <c r="AD55" s="435">
        <f t="shared" ref="AD55" si="52">AA55-SQRT($O$63)*$Q$63</f>
        <v>10.507105893578283</v>
      </c>
      <c r="AE55" s="441">
        <f t="shared" ref="AE55" si="53">AA55+SQRT($O$63)*$Q$63</f>
        <v>12.254919616874512</v>
      </c>
      <c r="AH55" s="54"/>
      <c r="AI55" s="11"/>
    </row>
    <row r="56" spans="1:35" ht="15.75">
      <c r="A56" s="134">
        <v>2005</v>
      </c>
      <c r="B56" s="671">
        <f t="shared" ref="B56" si="54">A56+$H$4</f>
        <v>2011</v>
      </c>
      <c r="C56" s="458">
        <f>VLOOKUP($A56,'Brd Tbl'!$A$8:$AX$64,23)</f>
        <v>13.501477075906118</v>
      </c>
      <c r="D56" s="458">
        <f>VLOOKUP($A56,'Brd Tbl'!$A$8:$AX$64,34)</f>
        <v>11.759463248879864</v>
      </c>
      <c r="E56" s="7">
        <v>41</v>
      </c>
      <c r="F56" s="7">
        <v>39</v>
      </c>
      <c r="G56" s="576">
        <v>0.93875161546207231</v>
      </c>
      <c r="H56" s="576">
        <v>0.75968383022265096</v>
      </c>
      <c r="I56" s="577">
        <v>0.23084493761861638</v>
      </c>
      <c r="J56" s="7">
        <v>12.01844418072336</v>
      </c>
      <c r="K56" s="7">
        <v>0.67839447636027284</v>
      </c>
      <c r="L56" s="7">
        <v>0.21733762017957123</v>
      </c>
      <c r="M56" s="997">
        <v>0.48473648934969071</v>
      </c>
      <c r="N56" s="475">
        <f t="shared" ref="N56" si="55">D56-J56</f>
        <v>-0.25898093184349591</v>
      </c>
      <c r="O56" s="440">
        <f t="shared" ref="O56" si="56">N56^2</f>
        <v>6.7071123058525473E-2</v>
      </c>
      <c r="P56" s="465">
        <f t="shared" ref="P56" si="57">J56</f>
        <v>12.01844418072336</v>
      </c>
      <c r="Q56" s="440">
        <f t="shared" si="20"/>
        <v>11.144537319075246</v>
      </c>
      <c r="R56" s="440">
        <f t="shared" si="5"/>
        <v>12.892351042371475</v>
      </c>
      <c r="S56" s="466">
        <f t="shared" ref="S56" si="58">EXP(D56)-$E$46</f>
        <v>127917.75301238392</v>
      </c>
      <c r="T56" s="440">
        <f t="shared" ref="T56" si="59">S56^2</f>
        <v>16362951535.737257</v>
      </c>
      <c r="U56" s="466">
        <f t="shared" ref="U56" si="60">EXP(P56)</f>
        <v>165784.52479108344</v>
      </c>
      <c r="V56" s="467">
        <f t="shared" ref="V56" si="61">EXP(Q56)</f>
        <v>69184.859137529696</v>
      </c>
      <c r="W56" s="467">
        <f t="shared" ref="W56" si="62">EXP(R56)</f>
        <v>397261.90098284435</v>
      </c>
      <c r="X56" s="468">
        <f t="shared" ref="X56" si="63">(+U56-EXP(D56))/(EXP(D56))</f>
        <v>0.2956090997154272</v>
      </c>
      <c r="Y56" s="468">
        <f t="shared" ref="Y56" si="64">ABS(X56)</f>
        <v>0.2956090997154272</v>
      </c>
      <c r="Z56" s="471">
        <f t="shared" ref="Z56" si="65">C56</f>
        <v>13.501477075906118</v>
      </c>
      <c r="AA56" s="480">
        <f t="shared" ref="AA56" si="66">(+G$61+H$61*C56)</f>
        <v>11.195377797946064</v>
      </c>
      <c r="AB56" s="473">
        <f t="shared" ref="AB56" si="67">D56</f>
        <v>11.759463248879864</v>
      </c>
      <c r="AC56" s="799" t="s">
        <v>363</v>
      </c>
      <c r="AD56" s="435">
        <f t="shared" ref="AD56" si="68">AA56-SQRT($O$63)*$Q$63</f>
        <v>10.321470936297949</v>
      </c>
      <c r="AE56" s="441">
        <f t="shared" ref="AE56" si="69">AA56+SQRT($O$63)*$Q$63</f>
        <v>12.069284659594178</v>
      </c>
      <c r="AH56" s="54"/>
      <c r="AI56" s="11"/>
    </row>
    <row r="57" spans="1:35" ht="15.75">
      <c r="A57" s="134">
        <v>2006</v>
      </c>
      <c r="B57" s="671">
        <f t="shared" ref="B57" si="70">A57+$H$4</f>
        <v>2012</v>
      </c>
      <c r="C57" s="458">
        <f>VLOOKUP($A57,'Brd Tbl'!$A$8:$AX$64,23)</f>
        <v>14.421147248530623</v>
      </c>
      <c r="D57" s="458">
        <f>VLOOKUP($A57,'Brd Tbl'!$A$8:$AX$64,34)</f>
        <v>11.569237899901379</v>
      </c>
      <c r="E57" s="7">
        <v>41</v>
      </c>
      <c r="F57" s="7">
        <v>39</v>
      </c>
      <c r="G57" s="576">
        <v>0.93875161546207231</v>
      </c>
      <c r="H57" s="576">
        <v>0.75968383022265096</v>
      </c>
      <c r="I57" s="577">
        <v>0.23084493761861638</v>
      </c>
      <c r="J57" s="7">
        <v>12.01844418072336</v>
      </c>
      <c r="K57" s="7">
        <v>0.67839447636027284</v>
      </c>
      <c r="L57" s="7">
        <v>0.21733762017957123</v>
      </c>
      <c r="M57" s="578">
        <v>0.48473648934969071</v>
      </c>
      <c r="N57" s="475">
        <f t="shared" ref="N57" si="71">D57-J57</f>
        <v>-0.449206280821981</v>
      </c>
      <c r="O57" s="440">
        <f t="shared" ref="O57" si="72">N57^2</f>
        <v>0.20178628272991644</v>
      </c>
      <c r="P57" s="465">
        <f t="shared" ref="P57" si="73">J57</f>
        <v>12.01844418072336</v>
      </c>
      <c r="Q57" s="440">
        <f t="shared" si="20"/>
        <v>11.144537319075246</v>
      </c>
      <c r="R57" s="440">
        <f t="shared" si="5"/>
        <v>12.892351042371475</v>
      </c>
      <c r="S57" s="466">
        <f t="shared" ref="S57" si="74">EXP(D57)-$E$46</f>
        <v>105751.81658205001</v>
      </c>
      <c r="T57" s="440">
        <f t="shared" ref="T57" si="75">S57^2</f>
        <v>11183446710.403549</v>
      </c>
      <c r="U57" s="466">
        <f t="shared" ref="U57" si="76">EXP(P57)</f>
        <v>165784.52479108344</v>
      </c>
      <c r="V57" s="467">
        <f t="shared" ref="V57" si="77">EXP(Q57)</f>
        <v>69184.859137529696</v>
      </c>
      <c r="W57" s="467">
        <f t="shared" ref="W57" si="78">EXP(R57)</f>
        <v>397261.90098284435</v>
      </c>
      <c r="X57" s="468">
        <f t="shared" ref="X57" si="79">(+U57-EXP(D57))/(EXP(D57))</f>
        <v>0.5670678799113501</v>
      </c>
      <c r="Y57" s="468">
        <f t="shared" ref="Y57" si="80">ABS(X57)</f>
        <v>0.5670678799113501</v>
      </c>
      <c r="Z57" s="471">
        <f t="shared" ref="Z57" si="81">C57</f>
        <v>14.421147248530623</v>
      </c>
      <c r="AA57" s="480">
        <f t="shared" ref="AA57" si="82">(+G$61+H$61*C57)</f>
        <v>11.87112073179528</v>
      </c>
      <c r="AB57" s="473">
        <f t="shared" ref="AB57" si="83">D57</f>
        <v>11.569237899901379</v>
      </c>
      <c r="AC57" s="799" t="s">
        <v>363</v>
      </c>
      <c r="AD57" s="435">
        <f t="shared" ref="AD57" si="84">AA57-SQRT($O$63)*$Q$63</f>
        <v>10.997213870147165</v>
      </c>
      <c r="AE57" s="441">
        <f t="shared" ref="AE57" si="85">AA57+SQRT($O$63)*$Q$63</f>
        <v>12.745027593443394</v>
      </c>
      <c r="AH57" s="54"/>
      <c r="AI57" s="11"/>
    </row>
    <row r="58" spans="1:35" ht="15.75">
      <c r="A58" s="134">
        <v>2007</v>
      </c>
      <c r="B58" s="671">
        <f t="shared" ref="B58" si="86">A58+$H$4</f>
        <v>2013</v>
      </c>
      <c r="C58" s="458">
        <f>VLOOKUP($A58,'Brd Tbl'!$A$8:$AX$64,23)</f>
        <v>14.547533233630642</v>
      </c>
      <c r="D58" s="458">
        <f>VLOOKUP($A58,'Brd Tbl'!$A$8:$AX$64,34)</f>
        <v>12.591428938588949</v>
      </c>
      <c r="E58" s="7">
        <v>41</v>
      </c>
      <c r="F58" s="7">
        <v>39</v>
      </c>
      <c r="G58" s="576">
        <v>0.93875161546207231</v>
      </c>
      <c r="H58" s="576">
        <v>0.75968383022265096</v>
      </c>
      <c r="I58" s="577">
        <v>0.23084493761861638</v>
      </c>
      <c r="J58" s="7">
        <v>12.01844418072336</v>
      </c>
      <c r="K58" s="7">
        <v>0.67839447636027284</v>
      </c>
      <c r="L58" s="7">
        <v>0.21733762017957123</v>
      </c>
      <c r="M58" s="578">
        <v>0.48473648934969071</v>
      </c>
      <c r="N58" s="475">
        <f t="shared" ref="N58" si="87">D58-J58</f>
        <v>0.57298475786558889</v>
      </c>
      <c r="O58" s="440">
        <f t="shared" ref="O58" si="88">N58^2</f>
        <v>0.32831153274628755</v>
      </c>
      <c r="P58" s="465">
        <f t="shared" ref="P58" si="89">J58</f>
        <v>12.01844418072336</v>
      </c>
      <c r="Q58" s="440">
        <f t="shared" si="20"/>
        <v>11.144537319075246</v>
      </c>
      <c r="R58" s="440">
        <f t="shared" si="5"/>
        <v>12.892351042371475</v>
      </c>
      <c r="S58" s="466">
        <f t="shared" ref="S58" si="90">EXP(D58)-$E$46</f>
        <v>293986.60562278738</v>
      </c>
      <c r="T58" s="440">
        <f t="shared" ref="T58" si="91">S58^2</f>
        <v>86428124285.608322</v>
      </c>
      <c r="U58" s="466">
        <f t="shared" ref="U58" si="92">EXP(P58)</f>
        <v>165784.52479108344</v>
      </c>
      <c r="V58" s="467">
        <f t="shared" ref="V58" si="93">EXP(Q58)</f>
        <v>69184.859137529696</v>
      </c>
      <c r="W58" s="467">
        <f t="shared" ref="W58" si="94">EXP(R58)</f>
        <v>397261.90098284435</v>
      </c>
      <c r="X58" s="468">
        <f t="shared" ref="X58" si="95">(+U58-EXP(D58))/(EXP(D58))</f>
        <v>-0.43616000123549281</v>
      </c>
      <c r="Y58" s="468">
        <f t="shared" ref="Y58" si="96">ABS(X58)</f>
        <v>0.43616000123549281</v>
      </c>
      <c r="Z58" s="471">
        <f t="shared" ref="Z58" si="97">C58</f>
        <v>14.547533233630642</v>
      </c>
      <c r="AA58" s="480">
        <f t="shared" ref="AA58" si="98">(+G$61+H$61*C58)</f>
        <v>11.963984933452693</v>
      </c>
      <c r="AB58" s="473">
        <f t="shared" ref="AB58" si="99">D58</f>
        <v>12.591428938588949</v>
      </c>
      <c r="AC58" s="799" t="s">
        <v>363</v>
      </c>
      <c r="AD58" s="435">
        <f t="shared" ref="AD58" si="100">AA58-SQRT($O$63)*$Q$63</f>
        <v>11.090078071804578</v>
      </c>
      <c r="AE58" s="441">
        <f t="shared" ref="AE58" si="101">AA58+SQRT($O$63)*$Q$63</f>
        <v>12.837891795100807</v>
      </c>
      <c r="AH58" s="54"/>
      <c r="AI58" s="11"/>
    </row>
    <row r="59" spans="1:35" ht="15.75">
      <c r="A59" s="134">
        <v>2008</v>
      </c>
      <c r="B59" s="671">
        <f t="shared" si="0"/>
        <v>2014</v>
      </c>
      <c r="C59" s="458">
        <f>VLOOKUP($A59,'Brd Tbl'!$A$8:$AX$64,23)</f>
        <v>14.206228091770475</v>
      </c>
      <c r="D59" s="458">
        <f>VLOOKUP($A59,'Brd Tbl'!$A$8:$AX$64,34)</f>
        <v>12.095403347211487</v>
      </c>
      <c r="E59" s="7">
        <v>41</v>
      </c>
      <c r="F59" s="7">
        <v>39</v>
      </c>
      <c r="G59" s="7">
        <v>1.2619257126261907</v>
      </c>
      <c r="H59" s="7">
        <v>0.73412402228736184</v>
      </c>
      <c r="I59" s="7">
        <v>0.21741952268758197</v>
      </c>
      <c r="J59" s="7">
        <v>11.370111229050288</v>
      </c>
      <c r="K59" s="7">
        <v>0.66405578945282506</v>
      </c>
      <c r="L59" s="7">
        <v>0.22620536546647427</v>
      </c>
      <c r="M59" s="7">
        <v>0.46612451682835315</v>
      </c>
      <c r="N59" s="475">
        <f t="shared" si="1"/>
        <v>0.72529211816119954</v>
      </c>
      <c r="O59" s="440">
        <f t="shared" si="2"/>
        <v>0.52604865666675948</v>
      </c>
      <c r="P59" s="465">
        <f t="shared" si="3"/>
        <v>11.370111229050288</v>
      </c>
      <c r="Q59" s="440">
        <f t="shared" si="20"/>
        <v>10.496204367402173</v>
      </c>
      <c r="R59" s="440">
        <f t="shared" si="5"/>
        <v>12.244018090698402</v>
      </c>
      <c r="S59" s="466">
        <f t="shared" si="21"/>
        <v>179005.95112404641</v>
      </c>
      <c r="T59" s="440">
        <f t="shared" si="7"/>
        <v>32043130537.82449</v>
      </c>
      <c r="U59" s="466">
        <f t="shared" si="8"/>
        <v>86691.50956237629</v>
      </c>
      <c r="V59" s="467">
        <f t="shared" si="9"/>
        <v>36177.923633408973</v>
      </c>
      <c r="W59" s="467">
        <f t="shared" si="10"/>
        <v>207734.91332331108</v>
      </c>
      <c r="X59" s="468">
        <f t="shared" si="11"/>
        <v>-0.51581689038471745</v>
      </c>
      <c r="Y59" s="468">
        <f t="shared" si="12"/>
        <v>0.51581689038471745</v>
      </c>
      <c r="Z59" s="471">
        <f t="shared" si="13"/>
        <v>14.206228091770475</v>
      </c>
      <c r="AA59" s="480">
        <f t="shared" si="14"/>
        <v>11.713205311840916</v>
      </c>
      <c r="AB59" s="473">
        <f t="shared" si="15"/>
        <v>12.095403347211487</v>
      </c>
      <c r="AC59" s="799" t="s">
        <v>476</v>
      </c>
      <c r="AD59" s="435">
        <f t="shared" si="17"/>
        <v>10.839298450192802</v>
      </c>
      <c r="AE59" s="441">
        <f t="shared" si="18"/>
        <v>12.587112173489031</v>
      </c>
    </row>
    <row r="60" spans="1:35">
      <c r="A60" s="134"/>
      <c r="E60" s="7"/>
      <c r="F60" s="7"/>
      <c r="G60" s="7"/>
      <c r="H60" s="7"/>
      <c r="I60" s="7"/>
      <c r="J60" s="7"/>
      <c r="K60" s="7"/>
      <c r="L60" s="7"/>
      <c r="M60" s="7"/>
      <c r="V60" s="2"/>
      <c r="W60" s="2"/>
      <c r="X60" s="47"/>
      <c r="Y60" s="468"/>
      <c r="Z60" s="139"/>
      <c r="AA60" s="139"/>
      <c r="AB60" s="139"/>
      <c r="AC60" s="800"/>
      <c r="AD60" s="23"/>
      <c r="AE60" s="47"/>
    </row>
    <row r="61" spans="1:35" ht="15.75">
      <c r="A61" s="134">
        <v>2009</v>
      </c>
      <c r="B61" s="671">
        <f>A61+$H$4</f>
        <v>2015</v>
      </c>
      <c r="C61" s="458">
        <f>VLOOKUP($A61,'Brd Tbl'!$A$8:$AX$64,23)</f>
        <v>14.444629537743996</v>
      </c>
      <c r="D61" s="458"/>
      <c r="E61" s="7">
        <v>42</v>
      </c>
      <c r="F61" s="7">
        <v>40</v>
      </c>
      <c r="G61" s="576">
        <v>1.2749432746272102</v>
      </c>
      <c r="H61" s="576">
        <v>0.73476660868626242</v>
      </c>
      <c r="I61" s="577">
        <v>0.2197606308278704</v>
      </c>
      <c r="J61" s="7">
        <v>11.511940963179374</v>
      </c>
      <c r="K61" s="7">
        <v>0.67120771362556775</v>
      </c>
      <c r="L61" s="896">
        <v>0.21842789343518693</v>
      </c>
      <c r="M61" s="576">
        <v>0.47509855981284138</v>
      </c>
      <c r="N61" s="440">
        <f>D61-$E$61</f>
        <v>-42</v>
      </c>
      <c r="O61" s="440">
        <f>N61^2</f>
        <v>1764</v>
      </c>
      <c r="P61" s="465">
        <f>J61</f>
        <v>11.511940963179374</v>
      </c>
      <c r="Q61" s="440">
        <f>$P61-(SQRT(O64)*Q64)</f>
        <v>10.638421235734501</v>
      </c>
      <c r="R61" s="440">
        <f>$P61+SQRT(O64)*Q64</f>
        <v>12.385460690624246</v>
      </c>
      <c r="S61" s="466">
        <f>EXP(D61)-$E$61</f>
        <v>-41</v>
      </c>
      <c r="T61" s="440">
        <f>S61^2</f>
        <v>1681</v>
      </c>
      <c r="U61" s="485">
        <f>EXP(P61)</f>
        <v>99901.598267203546</v>
      </c>
      <c r="V61" s="899">
        <f>EXP(Q61)</f>
        <v>41706.873891904463</v>
      </c>
      <c r="W61" s="899">
        <f>EXP(R61)</f>
        <v>239296.98884190319</v>
      </c>
      <c r="X61" s="169"/>
      <c r="Y61" s="468"/>
      <c r="Z61" s="471">
        <f>C61</f>
        <v>14.444629537743996</v>
      </c>
      <c r="AA61" s="471">
        <f>(+G61+H61*C61)</f>
        <v>11.888374733804781</v>
      </c>
      <c r="AB61" s="139"/>
      <c r="AC61" s="799" t="s">
        <v>477</v>
      </c>
      <c r="AD61" s="435">
        <f>AA61-SQRT(O64)*Q64</f>
        <v>11.014855006359909</v>
      </c>
      <c r="AE61" s="441">
        <f>AA61+SQRT(O64)*Q64</f>
        <v>12.761894461249653</v>
      </c>
      <c r="AF61" s="440">
        <f>AA61</f>
        <v>11.888374733804781</v>
      </c>
    </row>
    <row r="62" spans="1:35">
      <c r="A62" s="26"/>
      <c r="B62" s="42"/>
      <c r="C62" s="180"/>
      <c r="D62" s="42"/>
      <c r="E62" s="42"/>
      <c r="F62" s="42"/>
      <c r="G62" s="42"/>
      <c r="H62" s="174"/>
      <c r="I62" s="42"/>
      <c r="J62" s="42"/>
      <c r="K62" s="42"/>
      <c r="L62" s="42"/>
      <c r="M62" s="42"/>
      <c r="N62" s="42"/>
      <c r="O62" s="42"/>
      <c r="P62" s="42"/>
      <c r="Q62" s="42"/>
      <c r="R62" s="42"/>
      <c r="S62" s="42"/>
      <c r="T62" s="42"/>
      <c r="U62" s="42"/>
      <c r="V62" s="105"/>
      <c r="W62" s="105"/>
      <c r="X62" s="49"/>
      <c r="Y62" s="468"/>
      <c r="Z62" s="139"/>
      <c r="AA62" s="49"/>
      <c r="AB62" s="49"/>
      <c r="AC62" s="49"/>
      <c r="AD62" s="42"/>
      <c r="AE62" s="49"/>
    </row>
    <row r="63" spans="1:35">
      <c r="A63" s="23"/>
      <c r="C63" s="10"/>
      <c r="E63" s="54" t="s">
        <v>184</v>
      </c>
      <c r="F63" s="440">
        <f>F48</f>
        <v>39</v>
      </c>
      <c r="H63" s="9"/>
      <c r="M63" s="54" t="s">
        <v>185</v>
      </c>
      <c r="O63" s="924">
        <f>AVERAGE(INDEX(O$13:O$60,COUNT(O$13:O$60)-1,0):INDEX(O$13:O$60,(COUNT(O$13:O$60)-(COUNT(O$13:O$60)-1)),0))</f>
        <v>0.44775860900898951</v>
      </c>
      <c r="P63" s="54" t="s">
        <v>186</v>
      </c>
      <c r="Q63" s="440">
        <f>VLOOKUP(F63,ttab!$A$4:$G$44,4)</f>
        <v>1.306</v>
      </c>
      <c r="V63" s="2"/>
      <c r="W63" s="2"/>
      <c r="X63" s="47"/>
      <c r="Y63" s="227"/>
      <c r="Z63" s="36"/>
    </row>
    <row r="64" spans="1:35">
      <c r="A64" s="23"/>
      <c r="E64" s="54" t="s">
        <v>184</v>
      </c>
      <c r="F64" s="440">
        <f>F61</f>
        <v>40</v>
      </c>
      <c r="M64" s="54" t="s">
        <v>188</v>
      </c>
      <c r="O64" s="897">
        <f>AVERAGEA(O13:O60)</f>
        <v>0.44942435470383568</v>
      </c>
      <c r="P64" s="54" t="s">
        <v>186</v>
      </c>
      <c r="Q64" s="440">
        <f>VLOOKUP(F64,ttab!$A$4:$G$44,4)</f>
        <v>1.3029999999999999</v>
      </c>
      <c r="S64" s="54" t="s">
        <v>189</v>
      </c>
      <c r="T64" s="898">
        <f>AVERAGEA(T13:T59)</f>
        <v>13968429528.575161</v>
      </c>
      <c r="W64" t="s">
        <v>190</v>
      </c>
      <c r="X64" s="486">
        <f>AVERAGEA(X13:X59)</f>
        <v>0.2772888958913689</v>
      </c>
      <c r="Y64" s="486">
        <f>AVERAGEA(Y13:Y59)</f>
        <v>0.67687713618095424</v>
      </c>
      <c r="Z64" s="23"/>
    </row>
    <row r="65" spans="1:25">
      <c r="A65" s="42"/>
      <c r="B65" s="42"/>
      <c r="C65" s="42"/>
      <c r="D65" s="42"/>
      <c r="E65" s="42"/>
      <c r="F65" s="42"/>
      <c r="G65" s="42"/>
      <c r="H65" s="42"/>
      <c r="I65" s="42"/>
      <c r="J65" s="42"/>
      <c r="K65" s="42"/>
      <c r="L65" s="42"/>
      <c r="M65" s="42"/>
      <c r="N65" s="42"/>
      <c r="O65" s="42"/>
      <c r="P65" s="42"/>
      <c r="Q65" s="42"/>
      <c r="R65" s="42"/>
      <c r="S65" s="42"/>
      <c r="T65" s="42"/>
      <c r="U65" s="42"/>
      <c r="V65" s="42"/>
      <c r="W65" s="42"/>
      <c r="X65" s="49"/>
      <c r="Y65" s="227"/>
    </row>
    <row r="67" spans="1:25">
      <c r="O67" s="928"/>
    </row>
  </sheetData>
  <phoneticPr fontId="60" type="noConversion"/>
  <pageMargins left="0.55000000000000004" right="0.50800000000000001" top="0.5" bottom="1" header="0.5" footer="0.5"/>
  <pageSetup scale="37" orientation="portrait" horizontalDpi="300" verticalDpi="300" r:id="rId1"/>
  <headerFooter alignWithMargins="0"/>
  <drawing r:id="rId2"/>
  <legacyDrawing r:id="rId3"/>
  <controls>
    <mc:AlternateContent xmlns:mc="http://schemas.openxmlformats.org/markup-compatibility/2006">
      <mc:Choice Requires="x14">
        <control shapeId="14362" r:id="rId4" name="CommandButton1">
          <controlPr defaultSize="0" autoLine="0" r:id="rId5">
            <anchor moveWithCells="1">
              <from>
                <xdr:col>8</xdr:col>
                <xdr:colOff>400050</xdr:colOff>
                <xdr:row>2</xdr:row>
                <xdr:rowOff>0</xdr:rowOff>
              </from>
              <to>
                <xdr:col>12</xdr:col>
                <xdr:colOff>209550</xdr:colOff>
                <xdr:row>6</xdr:row>
                <xdr:rowOff>28575</xdr:rowOff>
              </to>
            </anchor>
          </controlPr>
        </control>
      </mc:Choice>
      <mc:Fallback>
        <control shapeId="14362" r:id="rId4" name="CommandButton1"/>
      </mc:Fallback>
    </mc:AlternateContent>
  </control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I22"/>
  <sheetViews>
    <sheetView workbookViewId="0">
      <selection activeCell="A5" sqref="A5:G25"/>
    </sheetView>
  </sheetViews>
  <sheetFormatPr defaultRowHeight="15"/>
  <cols>
    <col min="1" max="1" width="15.109375" customWidth="1"/>
    <col min="2" max="2" width="12.33203125" customWidth="1"/>
    <col min="6" max="6" width="12.109375" customWidth="1"/>
  </cols>
  <sheetData>
    <row r="1" spans="1:9" ht="16.5">
      <c r="A1" s="449" t="s">
        <v>175</v>
      </c>
      <c r="B1" s="449" t="s">
        <v>249</v>
      </c>
      <c r="C1" s="450" t="s">
        <v>246</v>
      </c>
      <c r="D1" s="451" t="s">
        <v>248</v>
      </c>
      <c r="E1" s="452" t="s">
        <v>247</v>
      </c>
      <c r="F1" s="450" t="s">
        <v>251</v>
      </c>
      <c r="G1" s="449" t="s">
        <v>250</v>
      </c>
      <c r="H1" s="449" t="s">
        <v>241</v>
      </c>
      <c r="I1" s="453" t="s">
        <v>115</v>
      </c>
    </row>
    <row r="2" spans="1:9">
      <c r="A2" s="454">
        <f>B12</f>
        <v>47</v>
      </c>
      <c r="B2" s="454">
        <f>B17</f>
        <v>45</v>
      </c>
      <c r="C2" s="454">
        <f>B21</f>
        <v>6.220260741864819</v>
      </c>
      <c r="D2" s="454">
        <f>B22</f>
        <v>0.52530721297918603</v>
      </c>
      <c r="E2" s="454">
        <f>C22</f>
        <v>0.13688747051449482</v>
      </c>
      <c r="F2" s="454"/>
      <c r="G2" s="454">
        <f>B11</f>
        <v>0.64664359111622183</v>
      </c>
      <c r="H2" s="454">
        <f>B9</f>
        <v>0.24656550487281692</v>
      </c>
      <c r="I2" s="454"/>
    </row>
    <row r="5" spans="1:9">
      <c r="A5" t="s">
        <v>563</v>
      </c>
    </row>
    <row r="6" spans="1:9" ht="15.75" thickBot="1"/>
    <row r="7" spans="1:9">
      <c r="A7" s="238" t="s">
        <v>564</v>
      </c>
      <c r="B7" s="238"/>
    </row>
    <row r="8" spans="1:9">
      <c r="A8" s="235" t="s">
        <v>565</v>
      </c>
      <c r="B8" s="235">
        <v>0.49655362738864062</v>
      </c>
    </row>
    <row r="9" spans="1:9">
      <c r="A9" s="235" t="s">
        <v>566</v>
      </c>
      <c r="B9" s="235">
        <v>0.24656550487281692</v>
      </c>
    </row>
    <row r="10" spans="1:9">
      <c r="A10" s="235" t="s">
        <v>567</v>
      </c>
      <c r="B10" s="235">
        <v>0.22982251609221285</v>
      </c>
    </row>
    <row r="11" spans="1:9">
      <c r="A11" s="235" t="s">
        <v>568</v>
      </c>
      <c r="B11" s="235">
        <v>0.64664359111622183</v>
      </c>
    </row>
    <row r="12" spans="1:9" ht="15.75" thickBot="1">
      <c r="A12" s="236" t="s">
        <v>569</v>
      </c>
      <c r="B12" s="236">
        <v>47</v>
      </c>
    </row>
    <row r="14" spans="1:9" ht="15.75" thickBot="1">
      <c r="A14" t="s">
        <v>570</v>
      </c>
    </row>
    <row r="15" spans="1:9">
      <c r="A15" s="237"/>
      <c r="B15" s="237" t="s">
        <v>573</v>
      </c>
      <c r="C15" s="237" t="s">
        <v>574</v>
      </c>
      <c r="D15" s="237" t="s">
        <v>575</v>
      </c>
      <c r="E15" s="237" t="s">
        <v>576</v>
      </c>
      <c r="F15" s="237" t="s">
        <v>577</v>
      </c>
    </row>
    <row r="16" spans="1:9">
      <c r="A16" s="235" t="s">
        <v>571</v>
      </c>
      <c r="B16" s="235">
        <v>1</v>
      </c>
      <c r="C16" s="235">
        <v>6.1578525669698898</v>
      </c>
      <c r="D16" s="235">
        <v>6.1578525669698898</v>
      </c>
      <c r="E16" s="235">
        <v>14.726492868373116</v>
      </c>
      <c r="F16" s="235">
        <v>3.8519654852224811E-4</v>
      </c>
    </row>
    <row r="17" spans="1:7">
      <c r="A17" s="235" t="s">
        <v>572</v>
      </c>
      <c r="B17" s="235">
        <v>45</v>
      </c>
      <c r="C17" s="235">
        <v>18.816657026925757</v>
      </c>
      <c r="D17" s="235">
        <v>0.41814793393168348</v>
      </c>
      <c r="E17" s="235"/>
      <c r="F17" s="235"/>
    </row>
    <row r="18" spans="1:7" ht="15.75" thickBot="1">
      <c r="A18" s="236" t="s">
        <v>128</v>
      </c>
      <c r="B18" s="236">
        <v>46</v>
      </c>
      <c r="C18" s="236">
        <v>24.974509593895647</v>
      </c>
      <c r="D18" s="236"/>
      <c r="E18" s="236"/>
      <c r="F18" s="236"/>
    </row>
    <row r="19" spans="1:7" ht="15.75" thickBot="1"/>
    <row r="20" spans="1:7">
      <c r="A20" s="237"/>
      <c r="B20" s="237" t="s">
        <v>578</v>
      </c>
      <c r="C20" s="237" t="s">
        <v>568</v>
      </c>
      <c r="D20" s="237" t="s">
        <v>579</v>
      </c>
      <c r="E20" s="237" t="s">
        <v>580</v>
      </c>
      <c r="F20" s="237" t="s">
        <v>581</v>
      </c>
      <c r="G20" s="237" t="s">
        <v>582</v>
      </c>
    </row>
    <row r="21" spans="1:7">
      <c r="A21" s="235" t="s">
        <v>246</v>
      </c>
      <c r="B21" s="235">
        <v>6.220260741864819</v>
      </c>
      <c r="C21" s="235">
        <v>1.3663175942238224</v>
      </c>
      <c r="D21" s="235">
        <v>4.552573111962614</v>
      </c>
      <c r="E21" s="235">
        <v>4.0134716629109291E-5</v>
      </c>
      <c r="F21" s="235">
        <v>3.4683558450510943</v>
      </c>
      <c r="G21" s="235">
        <v>8.9721656386785433</v>
      </c>
    </row>
    <row r="22" spans="1:7" ht="15.75" thickBot="1">
      <c r="A22" s="236" t="s">
        <v>583</v>
      </c>
      <c r="B22" s="236">
        <v>0.52530721297918603</v>
      </c>
      <c r="C22" s="236">
        <v>0.13688747051449482</v>
      </c>
      <c r="D22" s="236">
        <v>3.8375112857649158</v>
      </c>
      <c r="E22" s="236">
        <v>3.8519654852225174E-4</v>
      </c>
      <c r="F22" s="236">
        <v>0.24960169472061516</v>
      </c>
      <c r="G22" s="236">
        <v>0.80101273123775685</v>
      </c>
    </row>
  </sheetData>
  <dataConsolidate/>
  <phoneticPr fontId="60" type="noConversion"/>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transitionEntry="1" codeName="Sheet20"/>
  <dimension ref="A1:H69"/>
  <sheetViews>
    <sheetView zoomScale="75" workbookViewId="0">
      <selection activeCell="W48" sqref="W48"/>
    </sheetView>
  </sheetViews>
  <sheetFormatPr defaultColWidth="9.6640625" defaultRowHeight="15"/>
  <cols>
    <col min="1" max="2" width="6.6640625" customWidth="1"/>
    <col min="5" max="12" width="7.6640625" customWidth="1"/>
  </cols>
  <sheetData>
    <row r="1" spans="1:8">
      <c r="A1" t="s">
        <v>223</v>
      </c>
    </row>
    <row r="2" spans="1:8">
      <c r="B2" s="808">
        <v>0.5</v>
      </c>
      <c r="C2" s="808">
        <v>0.6</v>
      </c>
      <c r="D2" s="812">
        <v>0.8</v>
      </c>
      <c r="E2" s="808">
        <v>0.9</v>
      </c>
      <c r="F2" s="808">
        <v>0.95</v>
      </c>
      <c r="G2" s="809">
        <v>0.97499999999999998</v>
      </c>
      <c r="H2" t="s">
        <v>487</v>
      </c>
    </row>
    <row r="3" spans="1:8" ht="18">
      <c r="A3" s="811" t="s">
        <v>489</v>
      </c>
      <c r="B3" s="9">
        <v>0.5</v>
      </c>
      <c r="C3" s="9">
        <v>0.4</v>
      </c>
      <c r="D3" s="813">
        <v>0.2</v>
      </c>
      <c r="E3" s="9">
        <v>0.1</v>
      </c>
      <c r="F3" s="9">
        <v>0.05</v>
      </c>
      <c r="G3" s="9">
        <v>2.5000000000000001E-2</v>
      </c>
      <c r="H3" s="810" t="s">
        <v>488</v>
      </c>
    </row>
    <row r="4" spans="1:8">
      <c r="A4">
        <v>1</v>
      </c>
      <c r="B4" s="194">
        <v>1</v>
      </c>
      <c r="C4" s="167">
        <v>1.3759999999999999</v>
      </c>
      <c r="D4" s="167">
        <v>3.0779999999999998</v>
      </c>
      <c r="E4" s="167">
        <v>6.3140000000000001</v>
      </c>
      <c r="F4" s="167">
        <v>12.706</v>
      </c>
      <c r="G4" s="195">
        <v>25.452000000000002</v>
      </c>
    </row>
    <row r="5" spans="1:8">
      <c r="A5">
        <v>2</v>
      </c>
      <c r="B5" s="196">
        <v>0.81600000000000006</v>
      </c>
      <c r="C5" s="9">
        <v>1.0609999999999999</v>
      </c>
      <c r="D5" s="9">
        <v>1.8859999999999999</v>
      </c>
      <c r="E5" s="9">
        <v>2.92</v>
      </c>
      <c r="F5" s="9">
        <v>4.3029999999999999</v>
      </c>
      <c r="G5" s="197">
        <v>6.2050000000000001</v>
      </c>
    </row>
    <row r="6" spans="1:8">
      <c r="A6">
        <v>3</v>
      </c>
      <c r="B6" s="196">
        <v>0.76500000000000001</v>
      </c>
      <c r="C6" s="9">
        <v>0.97799999999999998</v>
      </c>
      <c r="D6" s="9">
        <v>1.6379999999999999</v>
      </c>
      <c r="E6" s="9">
        <v>2.3530000000000002</v>
      </c>
      <c r="F6" s="9">
        <v>3.1819999999999999</v>
      </c>
      <c r="G6" s="197">
        <v>4.1760000000000002</v>
      </c>
    </row>
    <row r="7" spans="1:8">
      <c r="A7">
        <v>4</v>
      </c>
      <c r="B7" s="196">
        <v>0.74099999999999999</v>
      </c>
      <c r="C7" s="9">
        <v>0.94100000000000006</v>
      </c>
      <c r="D7" s="9">
        <v>1.5329999999999999</v>
      </c>
      <c r="E7" s="9">
        <v>2.1320000000000001</v>
      </c>
      <c r="F7" s="9">
        <v>2.7759999999999998</v>
      </c>
      <c r="G7" s="197">
        <v>3.4950000000000001</v>
      </c>
    </row>
    <row r="8" spans="1:8">
      <c r="A8">
        <v>5</v>
      </c>
      <c r="B8" s="196">
        <v>0.72699999999999998</v>
      </c>
      <c r="C8" s="9">
        <v>0.92</v>
      </c>
      <c r="D8" s="9">
        <v>1.476</v>
      </c>
      <c r="E8" s="9">
        <v>2.0150000000000001</v>
      </c>
      <c r="F8" s="9">
        <v>2.5710000000000002</v>
      </c>
      <c r="G8" s="197">
        <v>3.1629999999999998</v>
      </c>
    </row>
    <row r="9" spans="1:8">
      <c r="A9">
        <v>6</v>
      </c>
      <c r="B9" s="196">
        <v>0.71799999999999997</v>
      </c>
      <c r="C9" s="9">
        <v>0.90600000000000003</v>
      </c>
      <c r="D9" s="9">
        <v>1.44</v>
      </c>
      <c r="E9" s="9">
        <v>1.9430000000000001</v>
      </c>
      <c r="F9" s="9">
        <v>2.4470000000000001</v>
      </c>
      <c r="G9" s="197">
        <v>2.9689999999999999</v>
      </c>
    </row>
    <row r="10" spans="1:8">
      <c r="A10">
        <v>7</v>
      </c>
      <c r="B10" s="196">
        <v>0.71099999999999997</v>
      </c>
      <c r="C10" s="9">
        <v>0.89600000000000002</v>
      </c>
      <c r="D10" s="9">
        <v>1.415</v>
      </c>
      <c r="E10" s="9">
        <v>1.895</v>
      </c>
      <c r="F10" s="9">
        <v>2.3650000000000002</v>
      </c>
      <c r="G10" s="197">
        <v>2.8410000000000002</v>
      </c>
    </row>
    <row r="11" spans="1:8">
      <c r="A11">
        <v>8</v>
      </c>
      <c r="B11" s="196">
        <v>0.70599999999999996</v>
      </c>
      <c r="C11" s="9">
        <v>0.88900000000000001</v>
      </c>
      <c r="D11" s="9">
        <v>1.397</v>
      </c>
      <c r="E11" s="9">
        <v>1.86</v>
      </c>
      <c r="F11" s="9">
        <v>2.306</v>
      </c>
      <c r="G11" s="197">
        <v>2.7519999999999998</v>
      </c>
    </row>
    <row r="12" spans="1:8">
      <c r="A12">
        <v>9</v>
      </c>
      <c r="B12" s="196">
        <v>0.70300000000000007</v>
      </c>
      <c r="C12" s="9">
        <v>0.88300000000000001</v>
      </c>
      <c r="D12" s="9">
        <v>1.383</v>
      </c>
      <c r="E12" s="9">
        <v>1.833</v>
      </c>
      <c r="F12" s="9">
        <v>2.262</v>
      </c>
      <c r="G12" s="197">
        <v>2.6850000000000001</v>
      </c>
    </row>
    <row r="13" spans="1:8">
      <c r="A13">
        <v>10</v>
      </c>
      <c r="B13" s="196">
        <v>0.7</v>
      </c>
      <c r="C13" s="9">
        <v>0.879</v>
      </c>
      <c r="D13" s="9">
        <v>1.3720000000000001</v>
      </c>
      <c r="E13" s="9">
        <v>1.8120000000000001</v>
      </c>
      <c r="F13" s="9">
        <v>2.2280000000000002</v>
      </c>
      <c r="G13" s="197">
        <v>2.6339999999999999</v>
      </c>
    </row>
    <row r="14" spans="1:8" ht="16.899999999999999" customHeight="1">
      <c r="A14">
        <v>11</v>
      </c>
      <c r="B14" s="196">
        <v>0.69700000000000006</v>
      </c>
      <c r="C14" s="9">
        <v>0.876</v>
      </c>
      <c r="D14" s="9">
        <v>1.363</v>
      </c>
      <c r="E14" s="9">
        <v>1.796</v>
      </c>
      <c r="F14" s="9">
        <v>2.2010000000000001</v>
      </c>
      <c r="G14" s="197">
        <v>2.593</v>
      </c>
    </row>
    <row r="15" spans="1:8">
      <c r="A15">
        <v>12</v>
      </c>
      <c r="B15" s="196">
        <v>0.69499999999999995</v>
      </c>
      <c r="C15" s="9">
        <v>0.873</v>
      </c>
      <c r="D15" s="9">
        <v>1.3560000000000001</v>
      </c>
      <c r="E15" s="9">
        <v>1.782</v>
      </c>
      <c r="F15" s="9">
        <v>2.1789999999999998</v>
      </c>
      <c r="G15" s="197">
        <v>2.56</v>
      </c>
    </row>
    <row r="16" spans="1:8">
      <c r="A16">
        <v>13</v>
      </c>
      <c r="B16" s="196">
        <v>0.69400000000000006</v>
      </c>
      <c r="C16" s="9">
        <v>0.87</v>
      </c>
      <c r="D16" s="9">
        <v>1.35</v>
      </c>
      <c r="E16" s="9">
        <v>1.7709999999999999</v>
      </c>
      <c r="F16" s="9">
        <v>2.16</v>
      </c>
      <c r="G16" s="197">
        <v>2.5329999999999999</v>
      </c>
    </row>
    <row r="17" spans="1:7">
      <c r="A17">
        <v>14</v>
      </c>
      <c r="B17" s="196">
        <v>0.69200000000000006</v>
      </c>
      <c r="C17" s="9">
        <v>0.86799999999999999</v>
      </c>
      <c r="D17" s="9">
        <v>1.345</v>
      </c>
      <c r="E17" s="9">
        <v>1.7609999999999999</v>
      </c>
      <c r="F17" s="9">
        <v>2.145</v>
      </c>
      <c r="G17" s="197">
        <v>2.5099999999999998</v>
      </c>
    </row>
    <row r="18" spans="1:7">
      <c r="A18">
        <v>15</v>
      </c>
      <c r="B18" s="196">
        <v>0.69100000000000006</v>
      </c>
      <c r="C18" s="9">
        <v>0.86599999999999999</v>
      </c>
      <c r="D18" s="9">
        <v>1.341</v>
      </c>
      <c r="E18" s="9">
        <v>1.7529999999999999</v>
      </c>
      <c r="F18" s="9">
        <v>2.1309999999999998</v>
      </c>
      <c r="G18" s="197">
        <v>2.4900000000000002</v>
      </c>
    </row>
    <row r="19" spans="1:7">
      <c r="A19">
        <v>16</v>
      </c>
      <c r="B19" s="196">
        <v>0.69</v>
      </c>
      <c r="C19" s="9">
        <v>0.86499999999999999</v>
      </c>
      <c r="D19" s="9">
        <v>1.337</v>
      </c>
      <c r="E19" s="9">
        <v>1.746</v>
      </c>
      <c r="F19" s="9">
        <v>2.12</v>
      </c>
      <c r="G19" s="197">
        <v>2.4729999999999999</v>
      </c>
    </row>
    <row r="20" spans="1:7">
      <c r="A20">
        <v>17</v>
      </c>
      <c r="B20" s="196">
        <v>0.68900000000000006</v>
      </c>
      <c r="C20" s="9">
        <v>0.86299999999999999</v>
      </c>
      <c r="D20" s="9">
        <v>1.333</v>
      </c>
      <c r="E20" s="9">
        <v>1.74</v>
      </c>
      <c r="F20" s="9">
        <v>2.11</v>
      </c>
      <c r="G20" s="197">
        <v>2.4580000000000002</v>
      </c>
    </row>
    <row r="21" spans="1:7">
      <c r="A21">
        <v>18</v>
      </c>
      <c r="B21" s="196">
        <v>0.68800000000000006</v>
      </c>
      <c r="C21" s="9">
        <v>0.86199999999999999</v>
      </c>
      <c r="D21" s="9">
        <v>1.33</v>
      </c>
      <c r="E21" s="9">
        <v>1.734</v>
      </c>
      <c r="F21" s="9">
        <v>2.101</v>
      </c>
      <c r="G21" s="197">
        <v>2.4449999999999998</v>
      </c>
    </row>
    <row r="22" spans="1:7">
      <c r="A22">
        <v>19</v>
      </c>
      <c r="B22" s="196">
        <v>0.68800000000000006</v>
      </c>
      <c r="C22" s="9">
        <v>0.86099999999999999</v>
      </c>
      <c r="D22" s="9">
        <v>1.3280000000000001</v>
      </c>
      <c r="E22" s="9">
        <v>1.7290000000000001</v>
      </c>
      <c r="F22" s="9">
        <v>2.093</v>
      </c>
      <c r="G22" s="197">
        <v>2.4430000000000001</v>
      </c>
    </row>
    <row r="23" spans="1:7">
      <c r="A23">
        <v>20</v>
      </c>
      <c r="B23" s="196">
        <v>0.68700000000000006</v>
      </c>
      <c r="C23" s="9">
        <v>0.86</v>
      </c>
      <c r="D23" s="9">
        <v>1.325</v>
      </c>
      <c r="E23" s="9">
        <v>1.7250000000000001</v>
      </c>
      <c r="F23" s="9">
        <v>2.0859999999999999</v>
      </c>
      <c r="G23" s="197">
        <v>2.423</v>
      </c>
    </row>
    <row r="24" spans="1:7">
      <c r="A24">
        <v>21</v>
      </c>
      <c r="B24" s="196">
        <v>0.68600000000000005</v>
      </c>
      <c r="C24" s="9">
        <v>0.85899999999999999</v>
      </c>
      <c r="D24" s="9">
        <v>1.323</v>
      </c>
      <c r="E24" s="9">
        <v>1.7210000000000001</v>
      </c>
      <c r="F24" s="9">
        <v>2.08</v>
      </c>
      <c r="G24" s="197">
        <v>2.4140000000000001</v>
      </c>
    </row>
    <row r="25" spans="1:7">
      <c r="A25">
        <v>22</v>
      </c>
      <c r="B25" s="196">
        <v>0.69600000000000006</v>
      </c>
      <c r="C25" s="9">
        <v>0.85799999999999998</v>
      </c>
      <c r="D25" s="9">
        <v>1.321</v>
      </c>
      <c r="E25" s="9">
        <v>1.7170000000000001</v>
      </c>
      <c r="F25" s="9">
        <v>2.0739999999999998</v>
      </c>
      <c r="G25" s="197">
        <v>2.4060000000000001</v>
      </c>
    </row>
    <row r="26" spans="1:7">
      <c r="A26">
        <v>23</v>
      </c>
      <c r="B26" s="196">
        <v>0.68500000000000005</v>
      </c>
      <c r="C26" s="9">
        <v>0.85799999999999998</v>
      </c>
      <c r="D26" s="9">
        <v>1.319</v>
      </c>
      <c r="E26" s="9">
        <v>1.714</v>
      </c>
      <c r="F26" s="9">
        <v>2.069</v>
      </c>
      <c r="G26" s="197">
        <v>2.3980000000000001</v>
      </c>
    </row>
    <row r="27" spans="1:7">
      <c r="A27">
        <v>24</v>
      </c>
      <c r="B27" s="196">
        <v>0.68500000000000005</v>
      </c>
      <c r="C27" s="9">
        <v>0.85699999999999998</v>
      </c>
      <c r="D27" s="9">
        <v>1.3180000000000001</v>
      </c>
      <c r="E27" s="9">
        <v>1.7110000000000001</v>
      </c>
      <c r="F27" s="9">
        <v>2.0640000000000001</v>
      </c>
      <c r="G27" s="197">
        <v>2.391</v>
      </c>
    </row>
    <row r="28" spans="1:7">
      <c r="A28">
        <v>25</v>
      </c>
      <c r="B28" s="196">
        <v>0.68400000000000005</v>
      </c>
      <c r="C28" s="9">
        <v>0.85599999999999998</v>
      </c>
      <c r="D28" s="9">
        <v>1.3160000000000001</v>
      </c>
      <c r="E28" s="9">
        <v>1.708</v>
      </c>
      <c r="F28" s="9">
        <v>2.06</v>
      </c>
      <c r="G28" s="197">
        <v>2.3849999999999998</v>
      </c>
    </row>
    <row r="29" spans="1:7">
      <c r="A29">
        <v>26</v>
      </c>
      <c r="B29" s="196">
        <v>0.68400000000000005</v>
      </c>
      <c r="C29" s="9">
        <v>0.85599999999999998</v>
      </c>
      <c r="D29" s="9">
        <v>1.3149999999999999</v>
      </c>
      <c r="E29" s="9">
        <v>1.706</v>
      </c>
      <c r="F29" s="9">
        <v>2.056</v>
      </c>
      <c r="G29" s="197">
        <v>2.379</v>
      </c>
    </row>
    <row r="30" spans="1:7">
      <c r="A30">
        <v>27</v>
      </c>
      <c r="B30" s="196">
        <v>0.68400000000000005</v>
      </c>
      <c r="C30" s="9">
        <v>0.85499999999999998</v>
      </c>
      <c r="D30" s="9">
        <v>1.3140000000000001</v>
      </c>
      <c r="E30" s="9">
        <v>1.7030000000000001</v>
      </c>
      <c r="F30" s="9">
        <v>2.052</v>
      </c>
      <c r="G30" s="197">
        <v>2.3730000000000002</v>
      </c>
    </row>
    <row r="31" spans="1:7">
      <c r="A31">
        <v>28</v>
      </c>
      <c r="B31" s="196">
        <v>0.68300000000000005</v>
      </c>
      <c r="C31" s="9">
        <v>0.85499999999999998</v>
      </c>
      <c r="D31" s="9">
        <v>1.3129999999999999</v>
      </c>
      <c r="E31" s="9">
        <v>1.7010000000000001</v>
      </c>
      <c r="F31" s="9">
        <v>2.048</v>
      </c>
      <c r="G31" s="197">
        <v>2.3679999999999999</v>
      </c>
    </row>
    <row r="32" spans="1:7">
      <c r="A32">
        <v>29</v>
      </c>
      <c r="B32" s="196">
        <v>0.68300000000000005</v>
      </c>
      <c r="C32" s="9">
        <v>0.85399999999999998</v>
      </c>
      <c r="D32" s="9">
        <v>1.3109999999999999</v>
      </c>
      <c r="E32" s="9">
        <v>1.6990000000000001</v>
      </c>
      <c r="F32" s="9">
        <v>2.0449999999999999</v>
      </c>
      <c r="G32" s="197">
        <v>2.3639999999999999</v>
      </c>
    </row>
    <row r="33" spans="1:7">
      <c r="A33">
        <v>30</v>
      </c>
      <c r="B33" s="196">
        <v>0.68300000000000005</v>
      </c>
      <c r="C33" s="9">
        <v>0.85399999999999998</v>
      </c>
      <c r="D33" s="9">
        <v>1.31</v>
      </c>
      <c r="E33" s="9">
        <v>1.6970000000000001</v>
      </c>
      <c r="F33" s="9">
        <v>2.0419999999999998</v>
      </c>
      <c r="G33" s="197">
        <v>2.36</v>
      </c>
    </row>
    <row r="34" spans="1:7">
      <c r="A34">
        <v>35</v>
      </c>
      <c r="B34" s="196">
        <v>0.68200000000000005</v>
      </c>
      <c r="C34" s="9">
        <v>0.85199999999999998</v>
      </c>
      <c r="D34" s="9">
        <v>1.306</v>
      </c>
      <c r="E34" s="9">
        <v>1.69</v>
      </c>
      <c r="F34" s="9">
        <v>2.0299999999999998</v>
      </c>
      <c r="G34" s="197">
        <v>2.3420000000000001</v>
      </c>
    </row>
    <row r="35" spans="1:7">
      <c r="A35">
        <v>40</v>
      </c>
      <c r="B35" s="196">
        <v>0.68100000000000005</v>
      </c>
      <c r="C35" s="9">
        <v>0.85099999999999998</v>
      </c>
      <c r="D35" s="9">
        <v>1.3029999999999999</v>
      </c>
      <c r="E35" s="9">
        <v>1.6839999999999999</v>
      </c>
      <c r="F35" s="9">
        <v>2.0209999999999999</v>
      </c>
      <c r="G35" s="197">
        <v>2.3290000000000002</v>
      </c>
    </row>
    <row r="36" spans="1:7">
      <c r="A36">
        <v>45</v>
      </c>
      <c r="B36" s="196">
        <v>0.68</v>
      </c>
      <c r="C36" s="9">
        <v>0.85</v>
      </c>
      <c r="D36" s="9">
        <v>1.3009999999999999</v>
      </c>
      <c r="E36" s="9">
        <v>1.68</v>
      </c>
      <c r="F36" s="9">
        <v>2.0139999999999998</v>
      </c>
      <c r="G36" s="197">
        <v>2.319</v>
      </c>
    </row>
    <row r="37" spans="1:7">
      <c r="A37">
        <v>50</v>
      </c>
      <c r="B37" s="196">
        <v>0.68</v>
      </c>
      <c r="C37" s="9">
        <v>0.84899999999999998</v>
      </c>
      <c r="D37" s="9">
        <v>1.2989999999999999</v>
      </c>
      <c r="E37" s="9">
        <v>1.6759999999999999</v>
      </c>
      <c r="F37" s="9">
        <v>2.008</v>
      </c>
      <c r="G37" s="197">
        <v>2.31</v>
      </c>
    </row>
    <row r="38" spans="1:7">
      <c r="A38">
        <v>55</v>
      </c>
      <c r="B38" s="196">
        <v>0.67900000000000005</v>
      </c>
      <c r="C38" s="9">
        <v>0.84899999999999998</v>
      </c>
      <c r="D38" s="9">
        <v>1.2969999999999999</v>
      </c>
      <c r="E38" s="9">
        <v>1.673</v>
      </c>
      <c r="F38" s="9">
        <v>2.004</v>
      </c>
      <c r="G38" s="197">
        <v>2.3039999999999998</v>
      </c>
    </row>
    <row r="39" spans="1:7">
      <c r="A39">
        <v>60</v>
      </c>
      <c r="B39" s="196">
        <v>0.67900000000000005</v>
      </c>
      <c r="C39" s="9">
        <v>0.84799999999999998</v>
      </c>
      <c r="D39" s="9">
        <v>1.296</v>
      </c>
      <c r="E39" s="9">
        <v>1.671</v>
      </c>
      <c r="F39" s="9">
        <v>2</v>
      </c>
      <c r="G39" s="197">
        <v>2.2989999999999999</v>
      </c>
    </row>
    <row r="40" spans="1:7">
      <c r="A40">
        <v>70</v>
      </c>
      <c r="B40" s="196">
        <v>0.67800000000000005</v>
      </c>
      <c r="C40" s="9">
        <v>0.84699999999999998</v>
      </c>
      <c r="D40" s="9">
        <v>1.294</v>
      </c>
      <c r="E40" s="9">
        <v>1.667</v>
      </c>
      <c r="F40" s="9">
        <v>1.994</v>
      </c>
      <c r="G40" s="197">
        <v>2.29</v>
      </c>
    </row>
    <row r="41" spans="1:7">
      <c r="A41">
        <v>80</v>
      </c>
      <c r="B41" s="196">
        <v>0.67800000000000005</v>
      </c>
      <c r="C41" s="9">
        <v>0.84699999999999998</v>
      </c>
      <c r="D41" s="9">
        <v>1.2929999999999999</v>
      </c>
      <c r="E41" s="9">
        <v>1.665</v>
      </c>
      <c r="F41" s="9">
        <v>1.9890000000000001</v>
      </c>
      <c r="G41" s="197">
        <v>2.2839999999999998</v>
      </c>
    </row>
    <row r="42" spans="1:7">
      <c r="A42">
        <v>90</v>
      </c>
      <c r="B42" s="196">
        <v>0.67800000000000005</v>
      </c>
      <c r="C42" s="9">
        <v>0.84599999999999997</v>
      </c>
      <c r="D42" s="9">
        <v>1.2909999999999999</v>
      </c>
      <c r="E42" s="9">
        <v>1.6619999999999999</v>
      </c>
      <c r="F42" s="9">
        <v>1.986</v>
      </c>
      <c r="G42" s="197">
        <v>2.2789999999999999</v>
      </c>
    </row>
    <row r="43" spans="1:7">
      <c r="A43">
        <v>100</v>
      </c>
      <c r="B43" s="196">
        <v>0.67700000000000005</v>
      </c>
      <c r="C43" s="9">
        <v>0.84599999999999997</v>
      </c>
      <c r="D43" s="9">
        <v>1.29</v>
      </c>
      <c r="E43" s="9">
        <v>1.661</v>
      </c>
      <c r="F43" s="9">
        <v>1.982</v>
      </c>
      <c r="G43" s="197">
        <v>2.2759999999999998</v>
      </c>
    </row>
    <row r="44" spans="1:7">
      <c r="A44">
        <v>120</v>
      </c>
      <c r="B44" s="198">
        <v>0.67700000000000005</v>
      </c>
      <c r="C44" s="174">
        <v>0.84499999999999997</v>
      </c>
      <c r="D44" s="174">
        <v>1.2889999999999999</v>
      </c>
      <c r="E44" s="174">
        <v>1.6579999999999999</v>
      </c>
      <c r="F44" s="174">
        <v>1.98</v>
      </c>
      <c r="G44" s="199">
        <v>2.27</v>
      </c>
    </row>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sheetData>
  <phoneticPr fontId="60" type="noConversion"/>
  <pageMargins left="0.55000000000000004" right="0.50800000000000001" top="0.5" bottom="1" header="0.5" footer="0.5"/>
  <pageSetup scale="37"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44</vt:i4>
      </vt:variant>
    </vt:vector>
  </HeadingPairs>
  <TitlesOfParts>
    <vt:vector size="75" baseType="lpstr">
      <vt:lpstr>Notes</vt:lpstr>
      <vt:lpstr>Models</vt:lpstr>
      <vt:lpstr>Uncertainty</vt:lpstr>
      <vt:lpstr>Rank data</vt:lpstr>
      <vt:lpstr>Forecast by Age</vt:lpstr>
      <vt:lpstr>Average BY Return</vt:lpstr>
      <vt:lpstr>Fcst Sumry</vt:lpstr>
      <vt:lpstr>Performance</vt:lpstr>
      <vt:lpstr>Run by Year</vt:lpstr>
      <vt:lpstr>Age1.2</vt:lpstr>
      <vt:lpstr>Age1.3</vt:lpstr>
      <vt:lpstr>Charts</vt:lpstr>
      <vt:lpstr>Fry to adult survival</vt:lpstr>
      <vt:lpstr>Brd Link</vt:lpstr>
      <vt:lpstr>Brd Tbl</vt:lpstr>
      <vt:lpstr>1.2xtotalRun</vt:lpstr>
      <vt:lpstr>ln03xln11</vt:lpstr>
      <vt:lpstr>ln03xln02</vt:lpstr>
      <vt:lpstr>ln12rpsxBYE</vt:lpstr>
      <vt:lpstr>ln12xln11</vt:lpstr>
      <vt:lpstr>13=BYE</vt:lpstr>
      <vt:lpstr>ln13rpsxBYE</vt:lpstr>
      <vt:lpstr>ln13xln12</vt:lpstr>
      <vt:lpstr>ln13xln03</vt:lpstr>
      <vt:lpstr>13 x 12</vt:lpstr>
      <vt:lpstr>ln22xBYE</vt:lpstr>
      <vt:lpstr>ln22xln12</vt:lpstr>
      <vt:lpstr>ln23xln22</vt:lpstr>
      <vt:lpstr>ln23xln13</vt:lpstr>
      <vt:lpstr>RegOut</vt:lpstr>
      <vt:lpstr>ttab</vt:lpstr>
      <vt:lpstr>AllYrs</vt:lpstr>
      <vt:lpstr>BRDLNK</vt:lpstr>
      <vt:lpstr>BROODT</vt:lpstr>
      <vt:lpstr>EhancedTotalRunForecast</vt:lpstr>
      <vt:lpstr>EnhancedCCPForecast</vt:lpstr>
      <vt:lpstr>FcastYr</vt:lpstr>
      <vt:lpstr>FirstYR</vt:lpstr>
      <vt:lpstr>FTITLE</vt:lpstr>
      <vt:lpstr>here</vt:lpstr>
      <vt:lpstr>MainRegion</vt:lpstr>
      <vt:lpstr>MSEAll</vt:lpstr>
      <vt:lpstr>MSEcalcAll</vt:lpstr>
      <vt:lpstr>MSEcalcL1O</vt:lpstr>
      <vt:lpstr>MSEL1O</vt:lpstr>
      <vt:lpstr>OutHere1</vt:lpstr>
      <vt:lpstr>PartOne</vt:lpstr>
      <vt:lpstr>PartTwo</vt:lpstr>
      <vt:lpstr>Age1.2!Print_Area</vt:lpstr>
      <vt:lpstr>Age1.3!Print_Area</vt:lpstr>
      <vt:lpstr>'Average BY Return'!Print_Area</vt:lpstr>
      <vt:lpstr>'Brd Tbl'!Print_Area</vt:lpstr>
      <vt:lpstr>Charts!Print_Area</vt:lpstr>
      <vt:lpstr>'Fcst Sumry'!Print_Area</vt:lpstr>
      <vt:lpstr>'Forecast by Age'!Print_Area</vt:lpstr>
      <vt:lpstr>ln12xln11!Print_Area</vt:lpstr>
      <vt:lpstr>Notes!Print_Area</vt:lpstr>
      <vt:lpstr>Performance!Print_Area</vt:lpstr>
      <vt:lpstr>'Rank data'!Print_Area</vt:lpstr>
      <vt:lpstr>ROut</vt:lpstr>
      <vt:lpstr>Rslts2All</vt:lpstr>
      <vt:lpstr>Rslts2L1O</vt:lpstr>
      <vt:lpstr>RsltsAll</vt:lpstr>
      <vt:lpstr>RsltsL1O</vt:lpstr>
      <vt:lpstr>SummarySheet1</vt:lpstr>
      <vt:lpstr>SummarySheet2</vt:lpstr>
      <vt:lpstr>TVAL</vt:lpstr>
      <vt:lpstr>WildCCPForecast</vt:lpstr>
      <vt:lpstr>WildTotalRunForecast</vt:lpstr>
      <vt:lpstr>XRangeAll</vt:lpstr>
      <vt:lpstr>XRangeL1O</vt:lpstr>
      <vt:lpstr>YestAll</vt:lpstr>
      <vt:lpstr>YestL1O</vt:lpstr>
      <vt:lpstr>YRangeAll</vt:lpstr>
      <vt:lpstr>YRangeL1O</vt:lpstr>
    </vt:vector>
  </TitlesOfParts>
  <Company>Alaska Dept. Fish and Game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Copper River Sockeye forecast spreadsheet</dc:title>
  <dc:subject>CR sockeye forecast-wild sibling and enhanced summary</dc:subject>
  <dc:creator>Steve Moffitt</dc:creator>
  <cp:keywords>Copper River sockeye wild enhanced forecast</cp:keywords>
  <dc:description>Created by JW</dc:description>
  <cp:lastModifiedBy>Moffitt, Steve D (DFG)</cp:lastModifiedBy>
  <cp:lastPrinted>2015-02-17T22:49:29Z</cp:lastPrinted>
  <dcterms:created xsi:type="dcterms:W3CDTF">1998-11-06T18:57:21Z</dcterms:created>
  <dcterms:modified xsi:type="dcterms:W3CDTF">2015-02-20T21:22:34Z</dcterms:modified>
</cp:coreProperties>
</file>