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autoCompressPictures="0"/>
  <bookViews>
    <workbookView xWindow="560" yWindow="1080" windowWidth="30060" windowHeight="17280" tabRatio="813" activeTab="1"/>
  </bookViews>
  <sheets>
    <sheet name="Read_Me" sheetId="4" r:id="rId1"/>
    <sheet name="WILD_CHUM_DATA" sheetId="3" r:id="rId2"/>
    <sheet name="Forecasts_Summary" sheetId="7" r:id="rId3"/>
    <sheet name="Forecast_Evaluation_Total_Run" sheetId="5" r:id="rId4"/>
    <sheet name="Forecast_Evaluation_Comm_Catch" sheetId="6" r:id="rId5"/>
    <sheet name="ttab" sheetId="2" r:id="rId6"/>
  </sheets>
  <definedNames>
    <definedName name="Fcst_YR">Read_Me!$I$3</definedName>
    <definedName name="_xlnm.Print_Area" localSheetId="1">WILD_CHUM_DATA!$A$2:$R$69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8" i="5" l="1"/>
  <c r="A40" i="5"/>
  <c r="A46" i="5"/>
  <c r="A47" i="5"/>
  <c r="A4" i="5"/>
  <c r="B4" i="5"/>
  <c r="R10" i="3"/>
  <c r="C4" i="5"/>
  <c r="A5" i="5"/>
  <c r="B5" i="5"/>
  <c r="R11" i="3"/>
  <c r="C5" i="5"/>
  <c r="E5" i="5"/>
  <c r="A6" i="5"/>
  <c r="B6" i="5"/>
  <c r="R12" i="3"/>
  <c r="C6" i="5"/>
  <c r="E6" i="5"/>
  <c r="G6" i="5"/>
  <c r="A7" i="5"/>
  <c r="B7" i="5"/>
  <c r="R13" i="3"/>
  <c r="C7" i="5"/>
  <c r="E7" i="5"/>
  <c r="G7" i="5"/>
  <c r="H7" i="5"/>
  <c r="A8" i="5"/>
  <c r="B8" i="5"/>
  <c r="R14" i="3"/>
  <c r="C8" i="5"/>
  <c r="E8" i="5"/>
  <c r="G8" i="5"/>
  <c r="H8" i="5"/>
  <c r="I8" i="5"/>
  <c r="A9" i="5"/>
  <c r="B9" i="5"/>
  <c r="R15" i="3"/>
  <c r="C9" i="5"/>
  <c r="E9" i="5"/>
  <c r="G9" i="5"/>
  <c r="H9" i="5"/>
  <c r="I9" i="5"/>
  <c r="J9" i="5"/>
  <c r="A10" i="5"/>
  <c r="B10" i="5"/>
  <c r="R16" i="3"/>
  <c r="C10" i="5"/>
  <c r="E10" i="5"/>
  <c r="G10" i="5"/>
  <c r="H10" i="5"/>
  <c r="I10" i="5"/>
  <c r="J10" i="5"/>
  <c r="A11" i="5"/>
  <c r="B11" i="5"/>
  <c r="R17" i="3"/>
  <c r="C11" i="5"/>
  <c r="E11" i="5"/>
  <c r="G11" i="5"/>
  <c r="H11" i="5"/>
  <c r="I11" i="5"/>
  <c r="J11" i="5"/>
  <c r="A12" i="5"/>
  <c r="B12" i="5"/>
  <c r="R18" i="3"/>
  <c r="C12" i="5"/>
  <c r="E12" i="5"/>
  <c r="G12" i="5"/>
  <c r="H12" i="5"/>
  <c r="I12" i="5"/>
  <c r="J12" i="5"/>
  <c r="A13" i="5"/>
  <c r="B13" i="5"/>
  <c r="R19" i="3"/>
  <c r="C13" i="5"/>
  <c r="E13" i="5"/>
  <c r="G13" i="5"/>
  <c r="H13" i="5"/>
  <c r="I13" i="5"/>
  <c r="J13" i="5"/>
  <c r="A14" i="5"/>
  <c r="B14" i="5"/>
  <c r="R20" i="3"/>
  <c r="C14" i="5"/>
  <c r="E14" i="5"/>
  <c r="G14" i="5"/>
  <c r="H14" i="5"/>
  <c r="I14" i="5"/>
  <c r="J14" i="5"/>
  <c r="K14" i="5"/>
  <c r="A15" i="5"/>
  <c r="B15" i="5"/>
  <c r="R21" i="3"/>
  <c r="C15" i="5"/>
  <c r="E15" i="5"/>
  <c r="G15" i="5"/>
  <c r="H15" i="5"/>
  <c r="I15" i="5"/>
  <c r="J15" i="5"/>
  <c r="K15" i="5"/>
  <c r="A16" i="5"/>
  <c r="B16" i="5"/>
  <c r="R22" i="3"/>
  <c r="C16" i="5"/>
  <c r="E16" i="5"/>
  <c r="G16" i="5"/>
  <c r="H16" i="5"/>
  <c r="I16" i="5"/>
  <c r="J16" i="5"/>
  <c r="K16" i="5"/>
  <c r="A17" i="5"/>
  <c r="B17" i="5"/>
  <c r="R23" i="3"/>
  <c r="C17" i="5"/>
  <c r="E17" i="5"/>
  <c r="G17" i="5"/>
  <c r="H17" i="5"/>
  <c r="I17" i="5"/>
  <c r="J17" i="5"/>
  <c r="K17" i="5"/>
  <c r="A18" i="5"/>
  <c r="B18" i="5"/>
  <c r="R24" i="3"/>
  <c r="C18" i="5"/>
  <c r="E18" i="5"/>
  <c r="G18" i="5"/>
  <c r="H18" i="5"/>
  <c r="I18" i="5"/>
  <c r="J18" i="5"/>
  <c r="K18" i="5"/>
  <c r="A19" i="5"/>
  <c r="B19" i="5"/>
  <c r="R25" i="3"/>
  <c r="C19" i="5"/>
  <c r="E19" i="5"/>
  <c r="G19" i="5"/>
  <c r="H19" i="5"/>
  <c r="I19" i="5"/>
  <c r="J19" i="5"/>
  <c r="K19" i="5"/>
  <c r="A20" i="5"/>
  <c r="B20" i="5"/>
  <c r="R26" i="3"/>
  <c r="C20" i="5"/>
  <c r="E20" i="5"/>
  <c r="G20" i="5"/>
  <c r="H20" i="5"/>
  <c r="I20" i="5"/>
  <c r="J20" i="5"/>
  <c r="K20" i="5"/>
  <c r="A21" i="5"/>
  <c r="O27" i="3"/>
  <c r="B21" i="5"/>
  <c r="R27" i="3"/>
  <c r="C21" i="5"/>
  <c r="E21" i="5"/>
  <c r="G21" i="5"/>
  <c r="H21" i="5"/>
  <c r="I21" i="5"/>
  <c r="J21" i="5"/>
  <c r="K21" i="5"/>
  <c r="A22" i="5"/>
  <c r="O28" i="3"/>
  <c r="B22" i="5"/>
  <c r="R28" i="3"/>
  <c r="C22" i="5"/>
  <c r="E22" i="5"/>
  <c r="G22" i="5"/>
  <c r="H22" i="5"/>
  <c r="I22" i="5"/>
  <c r="J22" i="5"/>
  <c r="K22" i="5"/>
  <c r="A23" i="5"/>
  <c r="O29" i="3"/>
  <c r="B23" i="5"/>
  <c r="R29" i="3"/>
  <c r="C23" i="5"/>
  <c r="E23" i="5"/>
  <c r="G23" i="5"/>
  <c r="H23" i="5"/>
  <c r="I23" i="5"/>
  <c r="J23" i="5"/>
  <c r="K23" i="5"/>
  <c r="A24" i="5"/>
  <c r="O30" i="3"/>
  <c r="B24" i="5"/>
  <c r="R30" i="3"/>
  <c r="C24" i="5"/>
  <c r="E24" i="5"/>
  <c r="G24" i="5"/>
  <c r="H24" i="5"/>
  <c r="I24" i="5"/>
  <c r="J24" i="5"/>
  <c r="K24" i="5"/>
  <c r="A25" i="5"/>
  <c r="O31" i="3"/>
  <c r="B25" i="5"/>
  <c r="R31" i="3"/>
  <c r="C25" i="5"/>
  <c r="E25" i="5"/>
  <c r="G25" i="5"/>
  <c r="H25" i="5"/>
  <c r="I25" i="5"/>
  <c r="J25" i="5"/>
  <c r="K25" i="5"/>
  <c r="A26" i="5"/>
  <c r="O32" i="3"/>
  <c r="B26" i="5"/>
  <c r="R32" i="3"/>
  <c r="C26" i="5"/>
  <c r="E26" i="5"/>
  <c r="G26" i="5"/>
  <c r="H26" i="5"/>
  <c r="I26" i="5"/>
  <c r="J26" i="5"/>
  <c r="K26" i="5"/>
  <c r="A27" i="5"/>
  <c r="O33" i="3"/>
  <c r="B27" i="5"/>
  <c r="R33" i="3"/>
  <c r="C27" i="5"/>
  <c r="E27" i="5"/>
  <c r="G27" i="5"/>
  <c r="H27" i="5"/>
  <c r="I27" i="5"/>
  <c r="J27" i="5"/>
  <c r="K27" i="5"/>
  <c r="O34" i="3"/>
  <c r="B28" i="5"/>
  <c r="R34" i="3"/>
  <c r="C28" i="5"/>
  <c r="E28" i="5"/>
  <c r="G28" i="5"/>
  <c r="H28" i="5"/>
  <c r="I28" i="5"/>
  <c r="J28" i="5"/>
  <c r="K28" i="5"/>
  <c r="A29" i="5"/>
  <c r="O35" i="3"/>
  <c r="B29" i="5"/>
  <c r="R35" i="3"/>
  <c r="C29" i="5"/>
  <c r="E29" i="5"/>
  <c r="G29" i="5"/>
  <c r="H29" i="5"/>
  <c r="I29" i="5"/>
  <c r="J29" i="5"/>
  <c r="K29" i="5"/>
  <c r="A30" i="5"/>
  <c r="O36" i="3"/>
  <c r="B30" i="5"/>
  <c r="R36" i="3"/>
  <c r="C30" i="5"/>
  <c r="E30" i="5"/>
  <c r="G30" i="5"/>
  <c r="H30" i="5"/>
  <c r="I30" i="5"/>
  <c r="J30" i="5"/>
  <c r="K30" i="5"/>
  <c r="A31" i="5"/>
  <c r="O37" i="3"/>
  <c r="B31" i="5"/>
  <c r="R37" i="3"/>
  <c r="C31" i="5"/>
  <c r="E31" i="5"/>
  <c r="G31" i="5"/>
  <c r="H31" i="5"/>
  <c r="I31" i="5"/>
  <c r="J31" i="5"/>
  <c r="K31" i="5"/>
  <c r="A32" i="5"/>
  <c r="O38" i="3"/>
  <c r="B32" i="5"/>
  <c r="R38" i="3"/>
  <c r="C32" i="5"/>
  <c r="E32" i="5"/>
  <c r="G32" i="5"/>
  <c r="H32" i="5"/>
  <c r="I32" i="5"/>
  <c r="J32" i="5"/>
  <c r="K32" i="5"/>
  <c r="A33" i="5"/>
  <c r="O39" i="3"/>
  <c r="B33" i="5"/>
  <c r="R39" i="3"/>
  <c r="C33" i="5"/>
  <c r="E33" i="5"/>
  <c r="G33" i="5"/>
  <c r="H33" i="5"/>
  <c r="I33" i="5"/>
  <c r="J33" i="5"/>
  <c r="K33" i="5"/>
  <c r="A34" i="5"/>
  <c r="O40" i="3"/>
  <c r="B34" i="5"/>
  <c r="R40" i="3"/>
  <c r="C34" i="5"/>
  <c r="E34" i="5"/>
  <c r="G34" i="5"/>
  <c r="H34" i="5"/>
  <c r="I34" i="5"/>
  <c r="J34" i="5"/>
  <c r="K34" i="5"/>
  <c r="A35" i="5"/>
  <c r="O41" i="3"/>
  <c r="B35" i="5"/>
  <c r="R41" i="3"/>
  <c r="C35" i="5"/>
  <c r="E35" i="5"/>
  <c r="G35" i="5"/>
  <c r="H35" i="5"/>
  <c r="I35" i="5"/>
  <c r="J35" i="5"/>
  <c r="K35" i="5"/>
  <c r="A36" i="5"/>
  <c r="O42" i="3"/>
  <c r="B36" i="5"/>
  <c r="R42" i="3"/>
  <c r="C36" i="5"/>
  <c r="E36" i="5"/>
  <c r="G36" i="5"/>
  <c r="H36" i="5"/>
  <c r="I36" i="5"/>
  <c r="J36" i="5"/>
  <c r="K36" i="5"/>
  <c r="A37" i="5"/>
  <c r="O43" i="3"/>
  <c r="B37" i="5"/>
  <c r="R43" i="3"/>
  <c r="C37" i="5"/>
  <c r="E37" i="5"/>
  <c r="G37" i="5"/>
  <c r="H37" i="5"/>
  <c r="I37" i="5"/>
  <c r="J37" i="5"/>
  <c r="K37" i="5"/>
  <c r="A38" i="5"/>
  <c r="O44" i="3"/>
  <c r="B38" i="5"/>
  <c r="R44" i="3"/>
  <c r="C38" i="5"/>
  <c r="E38" i="5"/>
  <c r="G38" i="5"/>
  <c r="H38" i="5"/>
  <c r="I38" i="5"/>
  <c r="J38" i="5"/>
  <c r="K38" i="5"/>
  <c r="A39" i="5"/>
  <c r="O45" i="3"/>
  <c r="B39" i="5"/>
  <c r="R45" i="3"/>
  <c r="C39" i="5"/>
  <c r="E39" i="5"/>
  <c r="G39" i="5"/>
  <c r="H39" i="5"/>
  <c r="I39" i="5"/>
  <c r="J39" i="5"/>
  <c r="K39" i="5"/>
  <c r="O46" i="3"/>
  <c r="B40" i="5"/>
  <c r="R46" i="3"/>
  <c r="C40" i="5"/>
  <c r="E40" i="5"/>
  <c r="G40" i="5"/>
  <c r="H40" i="5"/>
  <c r="I40" i="5"/>
  <c r="J40" i="5"/>
  <c r="K40" i="5"/>
  <c r="A41" i="5"/>
  <c r="O47" i="3"/>
  <c r="B41" i="5"/>
  <c r="R47" i="3"/>
  <c r="C41" i="5"/>
  <c r="E41" i="5"/>
  <c r="G41" i="5"/>
  <c r="H41" i="5"/>
  <c r="I41" i="5"/>
  <c r="J41" i="5"/>
  <c r="K41" i="5"/>
  <c r="A42" i="5"/>
  <c r="O48" i="3"/>
  <c r="B42" i="5"/>
  <c r="R48" i="3"/>
  <c r="C42" i="5"/>
  <c r="E42" i="5"/>
  <c r="G42" i="5"/>
  <c r="H42" i="5"/>
  <c r="I42" i="5"/>
  <c r="J42" i="5"/>
  <c r="K42" i="5"/>
  <c r="A43" i="5"/>
  <c r="O49" i="3"/>
  <c r="B43" i="5"/>
  <c r="R49" i="3"/>
  <c r="C43" i="5"/>
  <c r="E43" i="5"/>
  <c r="G43" i="5"/>
  <c r="H43" i="5"/>
  <c r="I43" i="5"/>
  <c r="J43" i="5"/>
  <c r="K43" i="5"/>
  <c r="A44" i="5"/>
  <c r="O50" i="3"/>
  <c r="B44" i="5"/>
  <c r="R50" i="3"/>
  <c r="C44" i="5"/>
  <c r="E44" i="5"/>
  <c r="G44" i="5"/>
  <c r="H44" i="5"/>
  <c r="I44" i="5"/>
  <c r="J44" i="5"/>
  <c r="K44" i="5"/>
  <c r="A45" i="5"/>
  <c r="D51" i="3"/>
  <c r="O51" i="3"/>
  <c r="B45" i="5"/>
  <c r="R51" i="3"/>
  <c r="C45" i="5"/>
  <c r="E45" i="5"/>
  <c r="G45" i="5"/>
  <c r="H45" i="5"/>
  <c r="I45" i="5"/>
  <c r="J45" i="5"/>
  <c r="K45" i="5"/>
  <c r="O52" i="3"/>
  <c r="B46" i="5"/>
  <c r="R52" i="3"/>
  <c r="C46" i="5"/>
  <c r="E46" i="5"/>
  <c r="G46" i="5"/>
  <c r="H46" i="5"/>
  <c r="I46" i="5"/>
  <c r="J46" i="5"/>
  <c r="K46" i="5"/>
  <c r="O53" i="3"/>
  <c r="B47" i="5"/>
  <c r="R53" i="3"/>
  <c r="C47" i="5"/>
  <c r="E47" i="5"/>
  <c r="G47" i="5"/>
  <c r="H47" i="5"/>
  <c r="I47" i="5"/>
  <c r="J47" i="5"/>
  <c r="K47" i="5"/>
  <c r="O54" i="3"/>
  <c r="B48" i="5"/>
  <c r="R54" i="3"/>
  <c r="C48" i="5"/>
  <c r="E48" i="5"/>
  <c r="G48" i="5"/>
  <c r="H48" i="5"/>
  <c r="I48" i="5"/>
  <c r="J48" i="5"/>
  <c r="K48" i="5"/>
  <c r="E53" i="5"/>
  <c r="U67" i="5"/>
  <c r="T54" i="3"/>
  <c r="T53" i="3"/>
  <c r="T52" i="3"/>
  <c r="M24" i="5"/>
  <c r="U24" i="5"/>
  <c r="M25" i="5"/>
  <c r="U25" i="5"/>
  <c r="M26" i="5"/>
  <c r="U26" i="5"/>
  <c r="M27" i="5"/>
  <c r="U27" i="5"/>
  <c r="M28" i="5"/>
  <c r="U28" i="5"/>
  <c r="M29" i="5"/>
  <c r="U29" i="5"/>
  <c r="M30" i="5"/>
  <c r="U30" i="5"/>
  <c r="M31" i="5"/>
  <c r="U31" i="5"/>
  <c r="M32" i="5"/>
  <c r="U32" i="5"/>
  <c r="M33" i="5"/>
  <c r="U33" i="5"/>
  <c r="M34" i="5"/>
  <c r="U34" i="5"/>
  <c r="M35" i="5"/>
  <c r="U35" i="5"/>
  <c r="M36" i="5"/>
  <c r="U36" i="5"/>
  <c r="M37" i="5"/>
  <c r="U37" i="5"/>
  <c r="M38" i="5"/>
  <c r="U38" i="5"/>
  <c r="M39" i="5"/>
  <c r="U39" i="5"/>
  <c r="M40" i="5"/>
  <c r="U40" i="5"/>
  <c r="M41" i="5"/>
  <c r="U41" i="5"/>
  <c r="M42" i="5"/>
  <c r="U42" i="5"/>
  <c r="M43" i="5"/>
  <c r="U43" i="5"/>
  <c r="M44" i="5"/>
  <c r="U44" i="5"/>
  <c r="M45" i="5"/>
  <c r="U45" i="5"/>
  <c r="M46" i="5"/>
  <c r="U46" i="5"/>
  <c r="M47" i="5"/>
  <c r="U47" i="5"/>
  <c r="M48" i="5"/>
  <c r="U48" i="5"/>
  <c r="U62" i="5"/>
  <c r="U68" i="5"/>
  <c r="U63" i="5"/>
  <c r="U66" i="5"/>
  <c r="M5" i="5"/>
  <c r="U5" i="5"/>
  <c r="M6" i="5"/>
  <c r="U6" i="5"/>
  <c r="M7" i="5"/>
  <c r="U7" i="5"/>
  <c r="M8" i="5"/>
  <c r="U8" i="5"/>
  <c r="M9" i="5"/>
  <c r="U9" i="5"/>
  <c r="M10" i="5"/>
  <c r="U10" i="5"/>
  <c r="M11" i="5"/>
  <c r="U11" i="5"/>
  <c r="M12" i="5"/>
  <c r="U12" i="5"/>
  <c r="M13" i="5"/>
  <c r="U13" i="5"/>
  <c r="M14" i="5"/>
  <c r="U14" i="5"/>
  <c r="M15" i="5"/>
  <c r="U15" i="5"/>
  <c r="M16" i="5"/>
  <c r="U16" i="5"/>
  <c r="M17" i="5"/>
  <c r="U17" i="5"/>
  <c r="M18" i="5"/>
  <c r="U18" i="5"/>
  <c r="M19" i="5"/>
  <c r="U19" i="5"/>
  <c r="M20" i="5"/>
  <c r="U20" i="5"/>
  <c r="M21" i="5"/>
  <c r="U21" i="5"/>
  <c r="M22" i="5"/>
  <c r="U22" i="5"/>
  <c r="M23" i="5"/>
  <c r="U23" i="5"/>
  <c r="U54" i="5"/>
  <c r="U53"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53"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54" i="5"/>
  <c r="O53"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54" i="5"/>
  <c r="N53" i="5"/>
  <c r="M54" i="5"/>
  <c r="M53" i="5"/>
  <c r="H53" i="5"/>
  <c r="G53" i="5"/>
  <c r="B26" i="6"/>
  <c r="B16" i="6"/>
  <c r="B17" i="6"/>
  <c r="B18" i="6"/>
  <c r="B19" i="6"/>
  <c r="B20" i="6"/>
  <c r="B21" i="6"/>
  <c r="B22" i="6"/>
  <c r="B23" i="6"/>
  <c r="B24" i="6"/>
  <c r="B25" i="6"/>
  <c r="H26" i="6"/>
  <c r="V26" i="6"/>
  <c r="AC26" i="6"/>
  <c r="B27" i="6"/>
  <c r="H27" i="6"/>
  <c r="V27" i="6"/>
  <c r="AC27" i="6"/>
  <c r="B28" i="6"/>
  <c r="H28" i="6"/>
  <c r="V28" i="6"/>
  <c r="AC28" i="6"/>
  <c r="B29" i="6"/>
  <c r="H29" i="6"/>
  <c r="V29" i="6"/>
  <c r="AC29" i="6"/>
  <c r="B30" i="6"/>
  <c r="H30" i="6"/>
  <c r="V30" i="6"/>
  <c r="AC30" i="6"/>
  <c r="B31" i="6"/>
  <c r="H31" i="6"/>
  <c r="V31" i="6"/>
  <c r="AC31" i="6"/>
  <c r="B32" i="6"/>
  <c r="H32" i="6"/>
  <c r="V32" i="6"/>
  <c r="AC32" i="6"/>
  <c r="B33" i="6"/>
  <c r="H33" i="6"/>
  <c r="V33" i="6"/>
  <c r="AC33" i="6"/>
  <c r="B34" i="6"/>
  <c r="H34" i="6"/>
  <c r="V34" i="6"/>
  <c r="AC34" i="6"/>
  <c r="B35" i="6"/>
  <c r="H35" i="6"/>
  <c r="V35" i="6"/>
  <c r="AC35" i="6"/>
  <c r="B36" i="6"/>
  <c r="H36" i="6"/>
  <c r="V36" i="6"/>
  <c r="AC36" i="6"/>
  <c r="B37" i="6"/>
  <c r="H37" i="6"/>
  <c r="V37" i="6"/>
  <c r="AC37" i="6"/>
  <c r="B38" i="6"/>
  <c r="H38" i="6"/>
  <c r="V38" i="6"/>
  <c r="AC38" i="6"/>
  <c r="B39" i="6"/>
  <c r="H39" i="6"/>
  <c r="V39" i="6"/>
  <c r="AC39" i="6"/>
  <c r="B40" i="6"/>
  <c r="H40" i="6"/>
  <c r="V40" i="6"/>
  <c r="AC40" i="6"/>
  <c r="B41" i="6"/>
  <c r="H41" i="6"/>
  <c r="V41" i="6"/>
  <c r="AC41" i="6"/>
  <c r="B42" i="6"/>
  <c r="H42" i="6"/>
  <c r="V42" i="6"/>
  <c r="AC42" i="6"/>
  <c r="B43" i="6"/>
  <c r="H43" i="6"/>
  <c r="V43" i="6"/>
  <c r="AC43" i="6"/>
  <c r="B44" i="6"/>
  <c r="H44" i="6"/>
  <c r="V44" i="6"/>
  <c r="AC44" i="6"/>
  <c r="B45" i="6"/>
  <c r="H45" i="6"/>
  <c r="V45" i="6"/>
  <c r="AC45" i="6"/>
  <c r="B46" i="6"/>
  <c r="H46" i="6"/>
  <c r="V46" i="6"/>
  <c r="AC46" i="6"/>
  <c r="B47" i="6"/>
  <c r="H47" i="6"/>
  <c r="V47" i="6"/>
  <c r="AC47" i="6"/>
  <c r="B48" i="6"/>
  <c r="H48" i="6"/>
  <c r="V48" i="6"/>
  <c r="AC48" i="6"/>
  <c r="B49" i="6"/>
  <c r="H49" i="6"/>
  <c r="V49" i="6"/>
  <c r="AC49" i="6"/>
  <c r="AC56" i="6"/>
  <c r="AC55" i="6"/>
  <c r="B15" i="6"/>
  <c r="B5" i="6"/>
  <c r="B6" i="6"/>
  <c r="B7" i="6"/>
  <c r="B8" i="6"/>
  <c r="B9" i="6"/>
  <c r="B10" i="6"/>
  <c r="B11" i="6"/>
  <c r="B12" i="6"/>
  <c r="B13" i="6"/>
  <c r="B14" i="6"/>
  <c r="H15" i="6"/>
  <c r="V15" i="6"/>
  <c r="AC15" i="6"/>
  <c r="H16" i="6"/>
  <c r="V16" i="6"/>
  <c r="AC16" i="6"/>
  <c r="H17" i="6"/>
  <c r="V17" i="6"/>
  <c r="AC17" i="6"/>
  <c r="H18" i="6"/>
  <c r="V18" i="6"/>
  <c r="AC18" i="6"/>
  <c r="H19" i="6"/>
  <c r="V19" i="6"/>
  <c r="AC19" i="6"/>
  <c r="H20" i="6"/>
  <c r="V20" i="6"/>
  <c r="AC20" i="6"/>
  <c r="H21" i="6"/>
  <c r="V21" i="6"/>
  <c r="AC21" i="6"/>
  <c r="H22" i="6"/>
  <c r="V22" i="6"/>
  <c r="AC22" i="6"/>
  <c r="H23" i="6"/>
  <c r="V23" i="6"/>
  <c r="AC23" i="6"/>
  <c r="H24" i="6"/>
  <c r="V24" i="6"/>
  <c r="AC24" i="6"/>
  <c r="H25" i="6"/>
  <c r="V25" i="6"/>
  <c r="AC25" i="6"/>
  <c r="AC54" i="6"/>
  <c r="G26" i="6"/>
  <c r="U26" i="6"/>
  <c r="AB26" i="6"/>
  <c r="G27" i="6"/>
  <c r="U27" i="6"/>
  <c r="AB27" i="6"/>
  <c r="G28" i="6"/>
  <c r="U28" i="6"/>
  <c r="AB28" i="6"/>
  <c r="G29" i="6"/>
  <c r="U29" i="6"/>
  <c r="AB29" i="6"/>
  <c r="G30" i="6"/>
  <c r="U30" i="6"/>
  <c r="AB30" i="6"/>
  <c r="G31" i="6"/>
  <c r="U31" i="6"/>
  <c r="AB31" i="6"/>
  <c r="G32" i="6"/>
  <c r="U32" i="6"/>
  <c r="AB32" i="6"/>
  <c r="G33" i="6"/>
  <c r="U33" i="6"/>
  <c r="AB33" i="6"/>
  <c r="G34" i="6"/>
  <c r="U34" i="6"/>
  <c r="AB34" i="6"/>
  <c r="G35" i="6"/>
  <c r="U35" i="6"/>
  <c r="AB35" i="6"/>
  <c r="G36" i="6"/>
  <c r="U36" i="6"/>
  <c r="AB36" i="6"/>
  <c r="G37" i="6"/>
  <c r="U37" i="6"/>
  <c r="AB37" i="6"/>
  <c r="G38" i="6"/>
  <c r="U38" i="6"/>
  <c r="AB38" i="6"/>
  <c r="G39" i="6"/>
  <c r="U39" i="6"/>
  <c r="AB39" i="6"/>
  <c r="G40" i="6"/>
  <c r="U40" i="6"/>
  <c r="AB40" i="6"/>
  <c r="G41" i="6"/>
  <c r="U41" i="6"/>
  <c r="AB41" i="6"/>
  <c r="G42" i="6"/>
  <c r="U42" i="6"/>
  <c r="AB42" i="6"/>
  <c r="G43" i="6"/>
  <c r="U43" i="6"/>
  <c r="AB43" i="6"/>
  <c r="G44" i="6"/>
  <c r="U44" i="6"/>
  <c r="AB44" i="6"/>
  <c r="G45" i="6"/>
  <c r="U45" i="6"/>
  <c r="AB45" i="6"/>
  <c r="G46" i="6"/>
  <c r="U46" i="6"/>
  <c r="AB46" i="6"/>
  <c r="G47" i="6"/>
  <c r="U47" i="6"/>
  <c r="AB47" i="6"/>
  <c r="G48" i="6"/>
  <c r="U48" i="6"/>
  <c r="AB48" i="6"/>
  <c r="G49" i="6"/>
  <c r="U49" i="6"/>
  <c r="AB49" i="6"/>
  <c r="AB56" i="6"/>
  <c r="AB55" i="6"/>
  <c r="G10" i="6"/>
  <c r="U10" i="6"/>
  <c r="AB10" i="6"/>
  <c r="G11" i="6"/>
  <c r="U11" i="6"/>
  <c r="AB11" i="6"/>
  <c r="G12" i="6"/>
  <c r="U12" i="6"/>
  <c r="AB12" i="6"/>
  <c r="G13" i="6"/>
  <c r="U13" i="6"/>
  <c r="AB13" i="6"/>
  <c r="G14" i="6"/>
  <c r="U14" i="6"/>
  <c r="AB14" i="6"/>
  <c r="G15" i="6"/>
  <c r="U15" i="6"/>
  <c r="AB15" i="6"/>
  <c r="G16" i="6"/>
  <c r="U16" i="6"/>
  <c r="AB16" i="6"/>
  <c r="G17" i="6"/>
  <c r="U17" i="6"/>
  <c r="AB17" i="6"/>
  <c r="G18" i="6"/>
  <c r="U18" i="6"/>
  <c r="AB18" i="6"/>
  <c r="G19" i="6"/>
  <c r="U19" i="6"/>
  <c r="AB19" i="6"/>
  <c r="G20" i="6"/>
  <c r="U20" i="6"/>
  <c r="AB20" i="6"/>
  <c r="G21" i="6"/>
  <c r="U21" i="6"/>
  <c r="AB21" i="6"/>
  <c r="G22" i="6"/>
  <c r="U22" i="6"/>
  <c r="AB22" i="6"/>
  <c r="G23" i="6"/>
  <c r="U23" i="6"/>
  <c r="AB23" i="6"/>
  <c r="G24" i="6"/>
  <c r="U24" i="6"/>
  <c r="AB24" i="6"/>
  <c r="G25" i="6"/>
  <c r="U25" i="6"/>
  <c r="AB25" i="6"/>
  <c r="AB54" i="6"/>
  <c r="F26" i="6"/>
  <c r="T26" i="6"/>
  <c r="AA26" i="6"/>
  <c r="F27" i="6"/>
  <c r="T27" i="6"/>
  <c r="AA27" i="6"/>
  <c r="F28" i="6"/>
  <c r="T28" i="6"/>
  <c r="AA28" i="6"/>
  <c r="F29" i="6"/>
  <c r="T29" i="6"/>
  <c r="AA29" i="6"/>
  <c r="F30" i="6"/>
  <c r="T30" i="6"/>
  <c r="AA30" i="6"/>
  <c r="F31" i="6"/>
  <c r="T31" i="6"/>
  <c r="AA31" i="6"/>
  <c r="F32" i="6"/>
  <c r="T32" i="6"/>
  <c r="AA32" i="6"/>
  <c r="F33" i="6"/>
  <c r="T33" i="6"/>
  <c r="AA33" i="6"/>
  <c r="F34" i="6"/>
  <c r="T34" i="6"/>
  <c r="AA34" i="6"/>
  <c r="F35" i="6"/>
  <c r="T35" i="6"/>
  <c r="AA35" i="6"/>
  <c r="F36" i="6"/>
  <c r="T36" i="6"/>
  <c r="AA36" i="6"/>
  <c r="F37" i="6"/>
  <c r="T37" i="6"/>
  <c r="AA37" i="6"/>
  <c r="F38" i="6"/>
  <c r="T38" i="6"/>
  <c r="AA38" i="6"/>
  <c r="F39" i="6"/>
  <c r="T39" i="6"/>
  <c r="AA39" i="6"/>
  <c r="F40" i="6"/>
  <c r="T40" i="6"/>
  <c r="AA40" i="6"/>
  <c r="F41" i="6"/>
  <c r="T41" i="6"/>
  <c r="AA41" i="6"/>
  <c r="F42" i="6"/>
  <c r="T42" i="6"/>
  <c r="AA42" i="6"/>
  <c r="F43" i="6"/>
  <c r="T43" i="6"/>
  <c r="AA43" i="6"/>
  <c r="F44" i="6"/>
  <c r="T44" i="6"/>
  <c r="AA44" i="6"/>
  <c r="F45" i="6"/>
  <c r="T45" i="6"/>
  <c r="AA45" i="6"/>
  <c r="F46" i="6"/>
  <c r="T46" i="6"/>
  <c r="AA46" i="6"/>
  <c r="F47" i="6"/>
  <c r="T47" i="6"/>
  <c r="AA47" i="6"/>
  <c r="F48" i="6"/>
  <c r="T48" i="6"/>
  <c r="AA48" i="6"/>
  <c r="F49" i="6"/>
  <c r="T49" i="6"/>
  <c r="AA49" i="6"/>
  <c r="AA56" i="6"/>
  <c r="AA55" i="6"/>
  <c r="F9" i="6"/>
  <c r="T9" i="6"/>
  <c r="AA9" i="6"/>
  <c r="F10" i="6"/>
  <c r="T10" i="6"/>
  <c r="AA10" i="6"/>
  <c r="F11" i="6"/>
  <c r="T11" i="6"/>
  <c r="AA11" i="6"/>
  <c r="F12" i="6"/>
  <c r="T12" i="6"/>
  <c r="AA12" i="6"/>
  <c r="F13" i="6"/>
  <c r="T13" i="6"/>
  <c r="AA13" i="6"/>
  <c r="F14" i="6"/>
  <c r="T14" i="6"/>
  <c r="AA14" i="6"/>
  <c r="F15" i="6"/>
  <c r="T15" i="6"/>
  <c r="AA15" i="6"/>
  <c r="F16" i="6"/>
  <c r="T16" i="6"/>
  <c r="AA16" i="6"/>
  <c r="F17" i="6"/>
  <c r="T17" i="6"/>
  <c r="AA17" i="6"/>
  <c r="F18" i="6"/>
  <c r="T18" i="6"/>
  <c r="AA18" i="6"/>
  <c r="F19" i="6"/>
  <c r="T19" i="6"/>
  <c r="AA19" i="6"/>
  <c r="F20" i="6"/>
  <c r="T20" i="6"/>
  <c r="AA20" i="6"/>
  <c r="F21" i="6"/>
  <c r="T21" i="6"/>
  <c r="AA21" i="6"/>
  <c r="F22" i="6"/>
  <c r="T22" i="6"/>
  <c r="AA22" i="6"/>
  <c r="F23" i="6"/>
  <c r="T23" i="6"/>
  <c r="AA23" i="6"/>
  <c r="F24" i="6"/>
  <c r="T24" i="6"/>
  <c r="AA24" i="6"/>
  <c r="F25" i="6"/>
  <c r="T25" i="6"/>
  <c r="AA25" i="6"/>
  <c r="AA54" i="6"/>
  <c r="E26" i="6"/>
  <c r="S26" i="6"/>
  <c r="Z26" i="6"/>
  <c r="E27" i="6"/>
  <c r="S27" i="6"/>
  <c r="Z27" i="6"/>
  <c r="E28" i="6"/>
  <c r="S28" i="6"/>
  <c r="Z28" i="6"/>
  <c r="E29" i="6"/>
  <c r="S29" i="6"/>
  <c r="Z29" i="6"/>
  <c r="E30" i="6"/>
  <c r="S30" i="6"/>
  <c r="Z30" i="6"/>
  <c r="E31" i="6"/>
  <c r="S31" i="6"/>
  <c r="Z31" i="6"/>
  <c r="E32" i="6"/>
  <c r="S32" i="6"/>
  <c r="Z32" i="6"/>
  <c r="E33" i="6"/>
  <c r="S33" i="6"/>
  <c r="Z33" i="6"/>
  <c r="E34" i="6"/>
  <c r="S34" i="6"/>
  <c r="Z34" i="6"/>
  <c r="E35" i="6"/>
  <c r="S35" i="6"/>
  <c r="Z35" i="6"/>
  <c r="E36" i="6"/>
  <c r="S36" i="6"/>
  <c r="Z36" i="6"/>
  <c r="E37" i="6"/>
  <c r="S37" i="6"/>
  <c r="Z37" i="6"/>
  <c r="E38" i="6"/>
  <c r="S38" i="6"/>
  <c r="Z38" i="6"/>
  <c r="E39" i="6"/>
  <c r="S39" i="6"/>
  <c r="Z39" i="6"/>
  <c r="E40" i="6"/>
  <c r="S40" i="6"/>
  <c r="Z40" i="6"/>
  <c r="E41" i="6"/>
  <c r="S41" i="6"/>
  <c r="Z41" i="6"/>
  <c r="E42" i="6"/>
  <c r="S42" i="6"/>
  <c r="Z42" i="6"/>
  <c r="E43" i="6"/>
  <c r="S43" i="6"/>
  <c r="Z43" i="6"/>
  <c r="E44" i="6"/>
  <c r="S44" i="6"/>
  <c r="Z44" i="6"/>
  <c r="E45" i="6"/>
  <c r="S45" i="6"/>
  <c r="Z45" i="6"/>
  <c r="E46" i="6"/>
  <c r="S46" i="6"/>
  <c r="Z46" i="6"/>
  <c r="E47" i="6"/>
  <c r="S47" i="6"/>
  <c r="Z47" i="6"/>
  <c r="E48" i="6"/>
  <c r="S48" i="6"/>
  <c r="Z48" i="6"/>
  <c r="E49" i="6"/>
  <c r="S49" i="6"/>
  <c r="Z49" i="6"/>
  <c r="Z56" i="6"/>
  <c r="Z55" i="6"/>
  <c r="E8" i="6"/>
  <c r="S8" i="6"/>
  <c r="Z8" i="6"/>
  <c r="E9" i="6"/>
  <c r="S9" i="6"/>
  <c r="Z9" i="6"/>
  <c r="E10" i="6"/>
  <c r="S10" i="6"/>
  <c r="Z10" i="6"/>
  <c r="E11" i="6"/>
  <c r="S11" i="6"/>
  <c r="Z11" i="6"/>
  <c r="E12" i="6"/>
  <c r="S12" i="6"/>
  <c r="Z12" i="6"/>
  <c r="E13" i="6"/>
  <c r="S13" i="6"/>
  <c r="Z13" i="6"/>
  <c r="E14" i="6"/>
  <c r="S14" i="6"/>
  <c r="Z14" i="6"/>
  <c r="E15" i="6"/>
  <c r="S15" i="6"/>
  <c r="Z15" i="6"/>
  <c r="E16" i="6"/>
  <c r="S16" i="6"/>
  <c r="Z16" i="6"/>
  <c r="E17" i="6"/>
  <c r="S17" i="6"/>
  <c r="Z17" i="6"/>
  <c r="E18" i="6"/>
  <c r="S18" i="6"/>
  <c r="Z18" i="6"/>
  <c r="E19" i="6"/>
  <c r="S19" i="6"/>
  <c r="Z19" i="6"/>
  <c r="E20" i="6"/>
  <c r="S20" i="6"/>
  <c r="Z20" i="6"/>
  <c r="E21" i="6"/>
  <c r="S21" i="6"/>
  <c r="Z21" i="6"/>
  <c r="E22" i="6"/>
  <c r="S22" i="6"/>
  <c r="Z22" i="6"/>
  <c r="E23" i="6"/>
  <c r="S23" i="6"/>
  <c r="Z23" i="6"/>
  <c r="E24" i="6"/>
  <c r="S24" i="6"/>
  <c r="Z24" i="6"/>
  <c r="E25" i="6"/>
  <c r="S25" i="6"/>
  <c r="Z25" i="6"/>
  <c r="Z54" i="6"/>
  <c r="D26" i="6"/>
  <c r="R26" i="6"/>
  <c r="Y26" i="6"/>
  <c r="D27" i="6"/>
  <c r="R27" i="6"/>
  <c r="Y27" i="6"/>
  <c r="D28" i="6"/>
  <c r="R28" i="6"/>
  <c r="Y28" i="6"/>
  <c r="D29" i="6"/>
  <c r="R29" i="6"/>
  <c r="Y29" i="6"/>
  <c r="D30" i="6"/>
  <c r="R30" i="6"/>
  <c r="Y30" i="6"/>
  <c r="D31" i="6"/>
  <c r="R31" i="6"/>
  <c r="Y31" i="6"/>
  <c r="D32" i="6"/>
  <c r="R32" i="6"/>
  <c r="Y32" i="6"/>
  <c r="D33" i="6"/>
  <c r="R33" i="6"/>
  <c r="Y33" i="6"/>
  <c r="D34" i="6"/>
  <c r="R34" i="6"/>
  <c r="Y34" i="6"/>
  <c r="D35" i="6"/>
  <c r="R35" i="6"/>
  <c r="Y35" i="6"/>
  <c r="D36" i="6"/>
  <c r="R36" i="6"/>
  <c r="Y36" i="6"/>
  <c r="D37" i="6"/>
  <c r="R37" i="6"/>
  <c r="Y37" i="6"/>
  <c r="D38" i="6"/>
  <c r="R38" i="6"/>
  <c r="Y38" i="6"/>
  <c r="D39" i="6"/>
  <c r="R39" i="6"/>
  <c r="Y39" i="6"/>
  <c r="D40" i="6"/>
  <c r="R40" i="6"/>
  <c r="Y40" i="6"/>
  <c r="D41" i="6"/>
  <c r="R41" i="6"/>
  <c r="Y41" i="6"/>
  <c r="D42" i="6"/>
  <c r="R42" i="6"/>
  <c r="Y42" i="6"/>
  <c r="D43" i="6"/>
  <c r="R43" i="6"/>
  <c r="Y43" i="6"/>
  <c r="D44" i="6"/>
  <c r="R44" i="6"/>
  <c r="Y44" i="6"/>
  <c r="D45" i="6"/>
  <c r="R45" i="6"/>
  <c r="Y45" i="6"/>
  <c r="D46" i="6"/>
  <c r="R46" i="6"/>
  <c r="Y46" i="6"/>
  <c r="D47" i="6"/>
  <c r="R47" i="6"/>
  <c r="Y47" i="6"/>
  <c r="D48" i="6"/>
  <c r="R48" i="6"/>
  <c r="Y48" i="6"/>
  <c r="D49" i="6"/>
  <c r="R49" i="6"/>
  <c r="Y49" i="6"/>
  <c r="Y56" i="6"/>
  <c r="Y55" i="6"/>
  <c r="D7" i="6"/>
  <c r="R7" i="6"/>
  <c r="Y7" i="6"/>
  <c r="D8" i="6"/>
  <c r="R8" i="6"/>
  <c r="Y8" i="6"/>
  <c r="D9" i="6"/>
  <c r="R9" i="6"/>
  <c r="Y9" i="6"/>
  <c r="D10" i="6"/>
  <c r="R10" i="6"/>
  <c r="Y10" i="6"/>
  <c r="D11" i="6"/>
  <c r="R11" i="6"/>
  <c r="Y11" i="6"/>
  <c r="D12" i="6"/>
  <c r="R12" i="6"/>
  <c r="Y12" i="6"/>
  <c r="D13" i="6"/>
  <c r="R13" i="6"/>
  <c r="Y13" i="6"/>
  <c r="D14" i="6"/>
  <c r="R14" i="6"/>
  <c r="Y14" i="6"/>
  <c r="D15" i="6"/>
  <c r="R15" i="6"/>
  <c r="Y15" i="6"/>
  <c r="D16" i="6"/>
  <c r="R16" i="6"/>
  <c r="Y16" i="6"/>
  <c r="D17" i="6"/>
  <c r="R17" i="6"/>
  <c r="Y17" i="6"/>
  <c r="D18" i="6"/>
  <c r="R18" i="6"/>
  <c r="Y18" i="6"/>
  <c r="D19" i="6"/>
  <c r="R19" i="6"/>
  <c r="Y19" i="6"/>
  <c r="D20" i="6"/>
  <c r="R20" i="6"/>
  <c r="Y20" i="6"/>
  <c r="D21" i="6"/>
  <c r="R21" i="6"/>
  <c r="Y21" i="6"/>
  <c r="D22" i="6"/>
  <c r="R22" i="6"/>
  <c r="Y22" i="6"/>
  <c r="D23" i="6"/>
  <c r="R23" i="6"/>
  <c r="Y23" i="6"/>
  <c r="D24" i="6"/>
  <c r="R24" i="6"/>
  <c r="Y24" i="6"/>
  <c r="D25" i="6"/>
  <c r="R25" i="6"/>
  <c r="Y25" i="6"/>
  <c r="Y54" i="6"/>
  <c r="C26" i="6"/>
  <c r="Q26" i="6"/>
  <c r="X26" i="6"/>
  <c r="C27" i="6"/>
  <c r="Q27" i="6"/>
  <c r="X27" i="6"/>
  <c r="C28" i="6"/>
  <c r="Q28" i="6"/>
  <c r="X28" i="6"/>
  <c r="C29" i="6"/>
  <c r="Q29" i="6"/>
  <c r="X29" i="6"/>
  <c r="C30" i="6"/>
  <c r="Q30" i="6"/>
  <c r="X30" i="6"/>
  <c r="C31" i="6"/>
  <c r="Q31" i="6"/>
  <c r="X31" i="6"/>
  <c r="C32" i="6"/>
  <c r="Q32" i="6"/>
  <c r="X32" i="6"/>
  <c r="C33" i="6"/>
  <c r="Q33" i="6"/>
  <c r="X33" i="6"/>
  <c r="C34" i="6"/>
  <c r="Q34" i="6"/>
  <c r="X34" i="6"/>
  <c r="C35" i="6"/>
  <c r="Q35" i="6"/>
  <c r="X35" i="6"/>
  <c r="C36" i="6"/>
  <c r="Q36" i="6"/>
  <c r="X36" i="6"/>
  <c r="C37" i="6"/>
  <c r="Q37" i="6"/>
  <c r="X37" i="6"/>
  <c r="C38" i="6"/>
  <c r="Q38" i="6"/>
  <c r="X38" i="6"/>
  <c r="C39" i="6"/>
  <c r="Q39" i="6"/>
  <c r="X39" i="6"/>
  <c r="C40" i="6"/>
  <c r="Q40" i="6"/>
  <c r="X40" i="6"/>
  <c r="C41" i="6"/>
  <c r="Q41" i="6"/>
  <c r="X41" i="6"/>
  <c r="C42" i="6"/>
  <c r="Q42" i="6"/>
  <c r="X42" i="6"/>
  <c r="C43" i="6"/>
  <c r="Q43" i="6"/>
  <c r="X43" i="6"/>
  <c r="C44" i="6"/>
  <c r="Q44" i="6"/>
  <c r="X44" i="6"/>
  <c r="C45" i="6"/>
  <c r="Q45" i="6"/>
  <c r="X45" i="6"/>
  <c r="C46" i="6"/>
  <c r="Q46" i="6"/>
  <c r="X46" i="6"/>
  <c r="C47" i="6"/>
  <c r="Q47" i="6"/>
  <c r="X47" i="6"/>
  <c r="C48" i="6"/>
  <c r="Q48" i="6"/>
  <c r="X48" i="6"/>
  <c r="C49" i="6"/>
  <c r="Q49" i="6"/>
  <c r="X49" i="6"/>
  <c r="X56" i="6"/>
  <c r="X55" i="6"/>
  <c r="C7" i="6"/>
  <c r="Q7" i="6"/>
  <c r="X7" i="6"/>
  <c r="C8" i="6"/>
  <c r="Q8" i="6"/>
  <c r="X8" i="6"/>
  <c r="C9" i="6"/>
  <c r="Q9" i="6"/>
  <c r="X9" i="6"/>
  <c r="C10" i="6"/>
  <c r="Q10" i="6"/>
  <c r="X10" i="6"/>
  <c r="C11" i="6"/>
  <c r="Q11" i="6"/>
  <c r="X11" i="6"/>
  <c r="C12" i="6"/>
  <c r="Q12" i="6"/>
  <c r="X12" i="6"/>
  <c r="C13" i="6"/>
  <c r="Q13" i="6"/>
  <c r="X13" i="6"/>
  <c r="C14" i="6"/>
  <c r="Q14" i="6"/>
  <c r="X14" i="6"/>
  <c r="C15" i="6"/>
  <c r="Q15" i="6"/>
  <c r="X15" i="6"/>
  <c r="C16" i="6"/>
  <c r="Q16" i="6"/>
  <c r="X16" i="6"/>
  <c r="C17" i="6"/>
  <c r="Q17" i="6"/>
  <c r="X17" i="6"/>
  <c r="C18" i="6"/>
  <c r="Q18" i="6"/>
  <c r="X18" i="6"/>
  <c r="C19" i="6"/>
  <c r="Q19" i="6"/>
  <c r="X19" i="6"/>
  <c r="C20" i="6"/>
  <c r="Q20" i="6"/>
  <c r="X20" i="6"/>
  <c r="C21" i="6"/>
  <c r="Q21" i="6"/>
  <c r="X21" i="6"/>
  <c r="C22" i="6"/>
  <c r="Q22" i="6"/>
  <c r="X22" i="6"/>
  <c r="C23" i="6"/>
  <c r="Q23" i="6"/>
  <c r="X23" i="6"/>
  <c r="C24" i="6"/>
  <c r="Q24" i="6"/>
  <c r="X24" i="6"/>
  <c r="C25" i="6"/>
  <c r="Q25" i="6"/>
  <c r="X25" i="6"/>
  <c r="X54" i="6"/>
  <c r="A49" i="6"/>
  <c r="W49" i="6"/>
  <c r="J49" i="6"/>
  <c r="K49" i="6"/>
  <c r="L49" i="6"/>
  <c r="M49" i="6"/>
  <c r="N49" i="6"/>
  <c r="O49" i="6"/>
  <c r="AG48" i="5"/>
  <c r="AH48" i="5"/>
  <c r="AI48"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55" i="5"/>
  <c r="E12" i="7"/>
  <c r="AJ48"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54" i="5"/>
  <c r="G13" i="7"/>
  <c r="Q48" i="5"/>
  <c r="AK48" i="5"/>
  <c r="R48" i="5"/>
  <c r="AL48" i="5"/>
  <c r="V48" i="5"/>
  <c r="W48" i="5"/>
  <c r="X48" i="5"/>
  <c r="Y48" i="5"/>
  <c r="Z48" i="5"/>
  <c r="R14" i="5"/>
  <c r="Z14" i="5"/>
  <c r="R15" i="5"/>
  <c r="Z15" i="5"/>
  <c r="R16" i="5"/>
  <c r="Z16" i="5"/>
  <c r="R17" i="5"/>
  <c r="Z17" i="5"/>
  <c r="R18" i="5"/>
  <c r="Z18" i="5"/>
  <c r="R19" i="5"/>
  <c r="Z19" i="5"/>
  <c r="R20" i="5"/>
  <c r="Z20" i="5"/>
  <c r="R21" i="5"/>
  <c r="Z21" i="5"/>
  <c r="R22" i="5"/>
  <c r="Z22" i="5"/>
  <c r="R23" i="5"/>
  <c r="Z23" i="5"/>
  <c r="R24" i="5"/>
  <c r="Z24" i="5"/>
  <c r="R25" i="5"/>
  <c r="Z25" i="5"/>
  <c r="R26" i="5"/>
  <c r="Z26" i="5"/>
  <c r="R27" i="5"/>
  <c r="Z27" i="5"/>
  <c r="R28" i="5"/>
  <c r="Z28" i="5"/>
  <c r="R29" i="5"/>
  <c r="Z29" i="5"/>
  <c r="R30" i="5"/>
  <c r="Z30" i="5"/>
  <c r="R31" i="5"/>
  <c r="Z31" i="5"/>
  <c r="R32" i="5"/>
  <c r="Z32" i="5"/>
  <c r="R33" i="5"/>
  <c r="Z33" i="5"/>
  <c r="R34" i="5"/>
  <c r="Z34" i="5"/>
  <c r="R35" i="5"/>
  <c r="Z35" i="5"/>
  <c r="R36" i="5"/>
  <c r="Z36" i="5"/>
  <c r="R37" i="5"/>
  <c r="Z37" i="5"/>
  <c r="R38" i="5"/>
  <c r="Z38" i="5"/>
  <c r="R39" i="5"/>
  <c r="Z39" i="5"/>
  <c r="R40" i="5"/>
  <c r="Z40" i="5"/>
  <c r="R41" i="5"/>
  <c r="Z41" i="5"/>
  <c r="R42" i="5"/>
  <c r="Z42" i="5"/>
  <c r="R43" i="5"/>
  <c r="Z43" i="5"/>
  <c r="R44" i="5"/>
  <c r="Z44" i="5"/>
  <c r="R45" i="5"/>
  <c r="Z45" i="5"/>
  <c r="R46" i="5"/>
  <c r="Z46" i="5"/>
  <c r="R47" i="5"/>
  <c r="Z47" i="5"/>
  <c r="Z54" i="5"/>
  <c r="R54" i="5"/>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9" i="3"/>
  <c r="V54" i="3"/>
  <c r="V11" i="3"/>
  <c r="W11" i="3"/>
  <c r="V12" i="3"/>
  <c r="W12" i="3"/>
  <c r="V13" i="3"/>
  <c r="W13" i="3"/>
  <c r="V14" i="3"/>
  <c r="W14" i="3"/>
  <c r="V15" i="3"/>
  <c r="W15" i="3"/>
  <c r="V16" i="3"/>
  <c r="W16" i="3"/>
  <c r="V17" i="3"/>
  <c r="W17" i="3"/>
  <c r="V18" i="3"/>
  <c r="W18" i="3"/>
  <c r="V19" i="3"/>
  <c r="W19" i="3"/>
  <c r="V20" i="3"/>
  <c r="W20" i="3"/>
  <c r="V21" i="3"/>
  <c r="W21" i="3"/>
  <c r="V22" i="3"/>
  <c r="W22" i="3"/>
  <c r="V23" i="3"/>
  <c r="W23" i="3"/>
  <c r="V24" i="3"/>
  <c r="W24" i="3"/>
  <c r="V25" i="3"/>
  <c r="W25" i="3"/>
  <c r="V26" i="3"/>
  <c r="W26" i="3"/>
  <c r="V27" i="3"/>
  <c r="W27" i="3"/>
  <c r="V28" i="3"/>
  <c r="W28" i="3"/>
  <c r="V29" i="3"/>
  <c r="W29" i="3"/>
  <c r="V30" i="3"/>
  <c r="W30" i="3"/>
  <c r="V31" i="3"/>
  <c r="W31" i="3"/>
  <c r="V32" i="3"/>
  <c r="W32" i="3"/>
  <c r="V33" i="3"/>
  <c r="W33" i="3"/>
  <c r="V34" i="3"/>
  <c r="W34" i="3"/>
  <c r="V35" i="3"/>
  <c r="W35" i="3"/>
  <c r="V36" i="3"/>
  <c r="W36" i="3"/>
  <c r="V37" i="3"/>
  <c r="W37" i="3"/>
  <c r="V38" i="3"/>
  <c r="W38" i="3"/>
  <c r="V39" i="3"/>
  <c r="W39" i="3"/>
  <c r="V40" i="3"/>
  <c r="W40" i="3"/>
  <c r="V41" i="3"/>
  <c r="W41" i="3"/>
  <c r="V42" i="3"/>
  <c r="W42" i="3"/>
  <c r="V43" i="3"/>
  <c r="W43" i="3"/>
  <c r="V44" i="3"/>
  <c r="W44" i="3"/>
  <c r="V45" i="3"/>
  <c r="W45" i="3"/>
  <c r="V46" i="3"/>
  <c r="W46" i="3"/>
  <c r="V47" i="3"/>
  <c r="W47" i="3"/>
  <c r="V48" i="3"/>
  <c r="W48" i="3"/>
  <c r="V49" i="3"/>
  <c r="W49" i="3"/>
  <c r="V50" i="3"/>
  <c r="W50" i="3"/>
  <c r="V51" i="3"/>
  <c r="W51" i="3"/>
  <c r="V52" i="3"/>
  <c r="W52" i="3"/>
  <c r="V53" i="3"/>
  <c r="W53" i="3"/>
  <c r="W54" i="3"/>
  <c r="U3" i="3"/>
  <c r="V70" i="3"/>
  <c r="W63" i="3"/>
  <c r="W64" i="3"/>
  <c r="U4" i="3"/>
  <c r="W66" i="3"/>
  <c r="X66"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63" i="3"/>
  <c r="X64" i="3"/>
  <c r="X65" i="3"/>
  <c r="Y54" i="3"/>
  <c r="S64" i="3"/>
  <c r="S72" i="3"/>
  <c r="R65" i="3"/>
  <c r="R68" i="3"/>
  <c r="R67" i="3"/>
  <c r="R69" i="3"/>
  <c r="R64" i="3"/>
  <c r="R73" i="3"/>
  <c r="R72" i="3"/>
  <c r="R71" i="3"/>
  <c r="R59" i="3"/>
  <c r="Q59" i="3"/>
  <c r="P59" i="3"/>
  <c r="O59" i="3"/>
  <c r="L59" i="3"/>
  <c r="K59" i="3"/>
  <c r="J59" i="3"/>
  <c r="I59" i="3"/>
  <c r="H59" i="3"/>
  <c r="G59" i="3"/>
  <c r="F59" i="3"/>
  <c r="E59" i="3"/>
  <c r="D59" i="3"/>
  <c r="B5" i="7"/>
  <c r="D4" i="3"/>
  <c r="S54" i="3"/>
  <c r="Y53" i="3"/>
  <c r="S53" i="3"/>
  <c r="H3" i="4"/>
  <c r="Y52" i="3"/>
  <c r="A48" i="6"/>
  <c r="W48" i="6"/>
  <c r="A46" i="6"/>
  <c r="W46" i="6"/>
  <c r="A47" i="6"/>
  <c r="W47" i="6"/>
  <c r="J9" i="6"/>
  <c r="C6" i="6"/>
  <c r="A6" i="6"/>
  <c r="W6" i="6"/>
  <c r="A7" i="6"/>
  <c r="W7" i="6"/>
  <c r="A8" i="6"/>
  <c r="W8" i="6"/>
  <c r="A9" i="6"/>
  <c r="W9" i="6"/>
  <c r="A10" i="6"/>
  <c r="W10" i="6"/>
  <c r="A11" i="6"/>
  <c r="W11" i="6"/>
  <c r="A12" i="6"/>
  <c r="W12" i="6"/>
  <c r="A13" i="6"/>
  <c r="W13" i="6"/>
  <c r="A14" i="6"/>
  <c r="W14" i="6"/>
  <c r="A15" i="6"/>
  <c r="W15" i="6"/>
  <c r="A16" i="6"/>
  <c r="W16" i="6"/>
  <c r="A17" i="6"/>
  <c r="W17" i="6"/>
  <c r="A18" i="6"/>
  <c r="W18" i="6"/>
  <c r="A19" i="6"/>
  <c r="W19" i="6"/>
  <c r="A20" i="6"/>
  <c r="W20" i="6"/>
  <c r="A21" i="6"/>
  <c r="W21" i="6"/>
  <c r="A22" i="6"/>
  <c r="W22" i="6"/>
  <c r="A23" i="6"/>
  <c r="W23" i="6"/>
  <c r="A24" i="6"/>
  <c r="W24" i="6"/>
  <c r="A25" i="6"/>
  <c r="W25" i="6"/>
  <c r="A26" i="6"/>
  <c r="W26" i="6"/>
  <c r="A27" i="6"/>
  <c r="W27" i="6"/>
  <c r="A28" i="6"/>
  <c r="W28" i="6"/>
  <c r="A29" i="6"/>
  <c r="W29" i="6"/>
  <c r="A30" i="6"/>
  <c r="W30" i="6"/>
  <c r="A31" i="6"/>
  <c r="W31" i="6"/>
  <c r="A32" i="6"/>
  <c r="W32" i="6"/>
  <c r="A33" i="6"/>
  <c r="W33" i="6"/>
  <c r="A34" i="6"/>
  <c r="W34" i="6"/>
  <c r="A35" i="6"/>
  <c r="W35" i="6"/>
  <c r="A36" i="6"/>
  <c r="W36" i="6"/>
  <c r="A37" i="6"/>
  <c r="W37" i="6"/>
  <c r="A38" i="6"/>
  <c r="W38" i="6"/>
  <c r="A39" i="6"/>
  <c r="W39" i="6"/>
  <c r="A40" i="6"/>
  <c r="W40" i="6"/>
  <c r="A41" i="6"/>
  <c r="W41" i="6"/>
  <c r="A42" i="6"/>
  <c r="W42" i="6"/>
  <c r="A43" i="6"/>
  <c r="W43" i="6"/>
  <c r="A44" i="6"/>
  <c r="W44" i="6"/>
  <c r="A45" i="6"/>
  <c r="W45" i="6"/>
  <c r="A5" i="6"/>
  <c r="W5" i="6"/>
  <c r="S67" i="5"/>
  <c r="S52" i="3"/>
  <c r="Q63" i="3"/>
  <c r="S51" i="3"/>
  <c r="Y51" i="3"/>
  <c r="A1" i="3"/>
  <c r="N4" i="3"/>
  <c r="N6" i="3"/>
  <c r="S9" i="3"/>
  <c r="S10" i="3"/>
  <c r="S11" i="3"/>
  <c r="Y11" i="3"/>
  <c r="S12" i="3"/>
  <c r="Y12" i="3"/>
  <c r="S13" i="3"/>
  <c r="Y13" i="3"/>
  <c r="S14" i="3"/>
  <c r="Y14" i="3"/>
  <c r="S15" i="3"/>
  <c r="Y15" i="3"/>
  <c r="S16" i="3"/>
  <c r="Y16" i="3"/>
  <c r="Q17" i="3"/>
  <c r="S17" i="3"/>
  <c r="Y17" i="3"/>
  <c r="S18" i="3"/>
  <c r="Y18" i="3"/>
  <c r="S19" i="3"/>
  <c r="Y19" i="3"/>
  <c r="S20" i="3"/>
  <c r="Y20" i="3"/>
  <c r="S21" i="3"/>
  <c r="Y21" i="3"/>
  <c r="S22" i="3"/>
  <c r="Y22" i="3"/>
  <c r="S23" i="3"/>
  <c r="Y23" i="3"/>
  <c r="S24" i="3"/>
  <c r="Y24" i="3"/>
  <c r="S25" i="3"/>
  <c r="Y25" i="3"/>
  <c r="S26" i="3"/>
  <c r="Y26" i="3"/>
  <c r="S27" i="3"/>
  <c r="Y27" i="3"/>
  <c r="S28" i="3"/>
  <c r="Y28" i="3"/>
  <c r="S29" i="3"/>
  <c r="Y29" i="3"/>
  <c r="S30" i="3"/>
  <c r="Y30" i="3"/>
  <c r="S31" i="3"/>
  <c r="Y31" i="3"/>
  <c r="S32" i="3"/>
  <c r="Y32" i="3"/>
  <c r="S33" i="3"/>
  <c r="Y33" i="3"/>
  <c r="S34" i="3"/>
  <c r="Y34" i="3"/>
  <c r="S35" i="3"/>
  <c r="Y35" i="3"/>
  <c r="S36" i="3"/>
  <c r="Y36" i="3"/>
  <c r="S37" i="3"/>
  <c r="Y37" i="3"/>
  <c r="S38" i="3"/>
  <c r="Y38" i="3"/>
  <c r="S39" i="3"/>
  <c r="Y39" i="3"/>
  <c r="S40" i="3"/>
  <c r="Y40" i="3"/>
  <c r="S41" i="3"/>
  <c r="Y41" i="3"/>
  <c r="S42" i="3"/>
  <c r="Y42" i="3"/>
  <c r="S43" i="3"/>
  <c r="Y43" i="3"/>
  <c r="S44" i="3"/>
  <c r="Y44" i="3"/>
  <c r="S45" i="3"/>
  <c r="Y45" i="3"/>
  <c r="S46" i="3"/>
  <c r="Y46" i="3"/>
  <c r="S47" i="3"/>
  <c r="Y47" i="3"/>
  <c r="S48" i="3"/>
  <c r="Y48" i="3"/>
  <c r="S49" i="3"/>
  <c r="Y49" i="3"/>
  <c r="S50" i="3"/>
  <c r="Y50" i="3"/>
  <c r="M16" i="6"/>
  <c r="L21" i="6"/>
  <c r="J8" i="6"/>
  <c r="M9" i="6"/>
  <c r="L14" i="6"/>
  <c r="L15" i="6"/>
  <c r="L23" i="6"/>
  <c r="L16" i="6"/>
  <c r="Q6" i="6"/>
  <c r="X6" i="6"/>
  <c r="K9" i="6"/>
  <c r="M15" i="6"/>
  <c r="N16" i="6"/>
  <c r="J12" i="6"/>
  <c r="K22" i="6"/>
  <c r="J18" i="6"/>
  <c r="N17" i="6"/>
  <c r="N18" i="6"/>
  <c r="M22" i="6"/>
  <c r="M21" i="6"/>
  <c r="K21" i="6"/>
  <c r="J19" i="6"/>
  <c r="J16" i="6"/>
  <c r="O20" i="6"/>
  <c r="J23" i="6"/>
  <c r="O22" i="6"/>
  <c r="J22" i="6"/>
  <c r="N27" i="6"/>
  <c r="O19" i="6"/>
  <c r="M18" i="6"/>
  <c r="O17" i="6"/>
  <c r="J21" i="6"/>
  <c r="M19" i="6"/>
  <c r="L10" i="6"/>
  <c r="J13" i="6"/>
  <c r="J10" i="6"/>
  <c r="K7" i="6"/>
  <c r="K10" i="6"/>
  <c r="K13" i="6"/>
  <c r="L17" i="6"/>
  <c r="N12" i="6"/>
  <c r="N14" i="6"/>
  <c r="L18" i="6"/>
  <c r="K48" i="6"/>
  <c r="O26" i="6"/>
  <c r="J36" i="6"/>
  <c r="J40" i="6"/>
  <c r="J48" i="6"/>
  <c r="K39" i="6"/>
  <c r="J28" i="6"/>
  <c r="J26" i="6"/>
  <c r="M29" i="6"/>
  <c r="N30" i="6"/>
  <c r="J37" i="6"/>
  <c r="J41" i="6"/>
  <c r="K31" i="6"/>
  <c r="J29" i="6"/>
  <c r="N48" i="6"/>
  <c r="AG28" i="5"/>
  <c r="AG27" i="5"/>
  <c r="AG8" i="5"/>
  <c r="AG15" i="5"/>
  <c r="AH17" i="5"/>
  <c r="V17" i="5"/>
  <c r="W17" i="5"/>
  <c r="Q17" i="5"/>
  <c r="Q15" i="5"/>
  <c r="Q14" i="5"/>
  <c r="Q12" i="5"/>
  <c r="W10" i="5"/>
  <c r="Q13" i="5"/>
  <c r="Q16" i="5"/>
  <c r="AG46" i="5"/>
  <c r="AG7" i="5"/>
  <c r="M46" i="6"/>
  <c r="K42" i="6"/>
  <c r="J42" i="6"/>
  <c r="N42" i="6"/>
  <c r="L42" i="6"/>
  <c r="N29" i="6"/>
  <c r="Q18" i="5"/>
  <c r="K28" i="6"/>
  <c r="K12" i="6"/>
  <c r="J32" i="6"/>
  <c r="Q20" i="5"/>
  <c r="K46" i="6"/>
  <c r="J15" i="6"/>
  <c r="J17" i="6"/>
  <c r="O18" i="6"/>
  <c r="N20" i="6"/>
  <c r="Q9" i="5"/>
  <c r="Q11" i="5"/>
  <c r="Q10" i="5"/>
  <c r="K16" i="6"/>
  <c r="J47" i="6"/>
  <c r="J30" i="6"/>
  <c r="K30" i="6"/>
  <c r="L30" i="6"/>
  <c r="K36" i="6"/>
  <c r="L38" i="6"/>
  <c r="L40" i="6"/>
  <c r="M42" i="6"/>
  <c r="O27" i="6"/>
  <c r="B12" i="7"/>
  <c r="K41" i="6"/>
  <c r="K26" i="6"/>
  <c r="M24" i="6"/>
  <c r="L24" i="6"/>
  <c r="O28" i="6"/>
  <c r="J24" i="6"/>
  <c r="K24" i="6"/>
  <c r="N5" i="3"/>
  <c r="K29" i="6"/>
  <c r="M14" i="6"/>
  <c r="J11" i="6"/>
  <c r="O31" i="6"/>
  <c r="J35" i="6"/>
  <c r="M38" i="6"/>
  <c r="J45" i="6"/>
  <c r="J46" i="6"/>
  <c r="L45" i="6"/>
  <c r="L31" i="6"/>
  <c r="L28" i="6"/>
  <c r="M30" i="6"/>
  <c r="K38" i="6"/>
  <c r="L46" i="6"/>
  <c r="K18" i="6"/>
  <c r="N40" i="6"/>
  <c r="M17" i="6"/>
  <c r="K20" i="6"/>
  <c r="N19" i="6"/>
  <c r="L19" i="6"/>
  <c r="K19" i="6"/>
  <c r="N22" i="6"/>
  <c r="M23" i="6"/>
  <c r="J20" i="6"/>
  <c r="O21" i="6"/>
  <c r="K23" i="6"/>
  <c r="O23" i="6"/>
  <c r="M26" i="6"/>
  <c r="K37" i="6"/>
  <c r="J6" i="6"/>
  <c r="L26" i="6"/>
  <c r="L11" i="6"/>
  <c r="K14" i="6"/>
  <c r="L22" i="6"/>
  <c r="J14" i="6"/>
  <c r="O24" i="6"/>
  <c r="V27" i="5"/>
  <c r="AH27" i="5"/>
  <c r="W47" i="5"/>
  <c r="V19" i="5"/>
  <c r="W12" i="5"/>
  <c r="V9" i="5"/>
  <c r="AH9" i="5"/>
  <c r="AG12" i="5"/>
  <c r="W14" i="5"/>
  <c r="W16" i="5"/>
  <c r="AL20" i="5"/>
  <c r="AG19" i="5"/>
  <c r="AG13" i="5"/>
  <c r="W13" i="5"/>
  <c r="V14" i="5"/>
  <c r="AH14" i="5"/>
  <c r="Y16" i="5"/>
  <c r="AK16" i="5"/>
  <c r="Y13" i="5"/>
  <c r="AK13" i="5"/>
  <c r="Y17" i="5"/>
  <c r="AK17" i="5"/>
  <c r="AH12" i="5"/>
  <c r="V12" i="5"/>
  <c r="Q22" i="5"/>
  <c r="Q21" i="5"/>
  <c r="Y21" i="5"/>
  <c r="Q19" i="5"/>
  <c r="AG17" i="5"/>
  <c r="Y14" i="5"/>
  <c r="AK14" i="5"/>
  <c r="W20" i="5"/>
  <c r="Y15" i="5"/>
  <c r="AK15" i="5"/>
  <c r="V15" i="5"/>
  <c r="AH15" i="5"/>
  <c r="Y12" i="5"/>
  <c r="AK12" i="5"/>
  <c r="V20" i="5"/>
  <c r="W15" i="5"/>
  <c r="AG16" i="5"/>
  <c r="X17" i="5"/>
  <c r="AG43" i="5"/>
  <c r="AH31" i="5"/>
  <c r="Q30" i="5"/>
  <c r="AK30" i="5"/>
  <c r="Q23" i="5"/>
  <c r="Y23" i="5"/>
  <c r="X31" i="5"/>
  <c r="Q47" i="5"/>
  <c r="AK47" i="5"/>
  <c r="AG22" i="5"/>
  <c r="AG30" i="5"/>
  <c r="Q32" i="5"/>
  <c r="Q31" i="5"/>
  <c r="V44" i="5"/>
  <c r="V22" i="5"/>
  <c r="X46" i="5"/>
  <c r="L34" i="6"/>
  <c r="L41" i="6"/>
  <c r="X10" i="5"/>
  <c r="AK9" i="5"/>
  <c r="Y9" i="5"/>
  <c r="AG26" i="5"/>
  <c r="AH46" i="5"/>
  <c r="V46" i="5"/>
  <c r="M11" i="6"/>
  <c r="N26" i="6"/>
  <c r="N13" i="6"/>
  <c r="L9" i="6"/>
  <c r="M27" i="6"/>
  <c r="AG9" i="5"/>
  <c r="X16" i="5"/>
  <c r="M44" i="6"/>
  <c r="AH16" i="5"/>
  <c r="V16" i="5"/>
  <c r="O46" i="6"/>
  <c r="N28" i="6"/>
  <c r="M47" i="6"/>
  <c r="M48" i="6"/>
  <c r="AG20" i="5"/>
  <c r="N41" i="6"/>
  <c r="J39" i="6"/>
  <c r="N43" i="6"/>
  <c r="J31" i="6"/>
  <c r="AL15" i="5"/>
  <c r="Y10" i="5"/>
  <c r="AK10" i="5"/>
  <c r="Y30" i="5"/>
  <c r="X21" i="5"/>
  <c r="N46" i="6"/>
  <c r="L44" i="6"/>
  <c r="AG45" i="5"/>
  <c r="K17" i="6"/>
  <c r="M13" i="6"/>
  <c r="M10" i="6"/>
  <c r="AG14" i="5"/>
  <c r="N31" i="6"/>
  <c r="X11" i="5"/>
  <c r="K47" i="6"/>
  <c r="K45" i="6"/>
  <c r="N39" i="6"/>
  <c r="B11" i="7"/>
  <c r="M31" i="6"/>
  <c r="J25" i="6"/>
  <c r="O25" i="6"/>
  <c r="O30" i="6"/>
  <c r="AG6" i="5"/>
  <c r="AH8" i="5"/>
  <c r="V8" i="5"/>
  <c r="W28" i="5"/>
  <c r="O48" i="6"/>
  <c r="Y18" i="5"/>
  <c r="AK18" i="5"/>
  <c r="M43" i="6"/>
  <c r="I53" i="5"/>
  <c r="B13" i="7"/>
  <c r="W21" i="5"/>
  <c r="J44" i="6"/>
  <c r="N11" i="6"/>
  <c r="J7" i="6"/>
  <c r="W11" i="5"/>
  <c r="L43" i="6"/>
  <c r="L47" i="6"/>
  <c r="X23" i="5"/>
  <c r="L27" i="6"/>
  <c r="K40" i="6"/>
  <c r="X29" i="5"/>
  <c r="X22" i="5"/>
  <c r="N21" i="6"/>
  <c r="N25" i="6"/>
  <c r="M25" i="6"/>
  <c r="N32" i="6"/>
  <c r="L48" i="6"/>
  <c r="AL17" i="5"/>
  <c r="AH44" i="5"/>
  <c r="V21" i="5"/>
  <c r="AH21" i="5"/>
  <c r="M41" i="6"/>
  <c r="W7" i="5"/>
  <c r="X9" i="5"/>
  <c r="N45" i="6"/>
  <c r="AK19" i="5"/>
  <c r="Y19" i="5"/>
  <c r="AG5" i="5"/>
  <c r="K11" i="6"/>
  <c r="L25" i="6"/>
  <c r="W30" i="5"/>
  <c r="AK21" i="5"/>
  <c r="V6" i="5"/>
  <c r="AH6" i="5"/>
  <c r="Y20" i="5"/>
  <c r="AK20" i="5"/>
  <c r="M39" i="6"/>
  <c r="N15" i="6"/>
  <c r="O16" i="6"/>
  <c r="N23" i="6"/>
  <c r="O47" i="6"/>
  <c r="M32" i="6"/>
  <c r="Y47" i="5"/>
  <c r="AH47" i="5"/>
  <c r="V47" i="5"/>
  <c r="AL16" i="5"/>
  <c r="K43" i="6"/>
  <c r="O15" i="6"/>
  <c r="AH11" i="5"/>
  <c r="V11" i="5"/>
  <c r="X15" i="5"/>
  <c r="L29" i="6"/>
  <c r="Q46" i="5"/>
  <c r="Q24" i="5"/>
  <c r="AG11" i="5"/>
  <c r="K25" i="6"/>
  <c r="AG47" i="5"/>
  <c r="V7" i="5"/>
  <c r="AH7" i="5"/>
  <c r="Y11" i="5"/>
  <c r="AK11" i="5"/>
  <c r="J43" i="6"/>
  <c r="X30" i="5"/>
  <c r="X20" i="5"/>
  <c r="M33" i="6"/>
  <c r="J33" i="6"/>
  <c r="O33" i="6"/>
  <c r="L33" i="6"/>
  <c r="N33" i="6"/>
  <c r="K33" i="6"/>
  <c r="L20" i="6"/>
  <c r="X18" i="5"/>
  <c r="AG18" i="5"/>
  <c r="X12" i="5"/>
  <c r="O29" i="6"/>
  <c r="X8" i="5"/>
  <c r="AH23" i="5"/>
  <c r="V23" i="5"/>
  <c r="N44" i="6"/>
  <c r="J27" i="6"/>
  <c r="AG10" i="5"/>
  <c r="X14" i="5"/>
  <c r="K15" i="6"/>
  <c r="K27" i="6"/>
  <c r="O44" i="6"/>
  <c r="M12" i="6"/>
  <c r="L13" i="6"/>
  <c r="N10" i="6"/>
  <c r="N24" i="6"/>
  <c r="AH28" i="5"/>
  <c r="V28" i="5"/>
  <c r="L37" i="6"/>
  <c r="M28" i="6"/>
  <c r="M40" i="6"/>
  <c r="W8" i="5"/>
  <c r="N47" i="6"/>
  <c r="M20" i="6"/>
  <c r="L12" i="6"/>
  <c r="K8" i="6"/>
  <c r="AH10" i="5"/>
  <c r="V10" i="5"/>
  <c r="L8" i="6"/>
  <c r="AL18" i="5"/>
  <c r="AH13" i="5"/>
  <c r="V13" i="5"/>
  <c r="L39" i="6"/>
  <c r="AG21" i="5"/>
  <c r="X13" i="5"/>
  <c r="W18" i="5"/>
  <c r="J53" i="5"/>
  <c r="B14" i="7"/>
  <c r="O32" i="6"/>
  <c r="J38" i="6"/>
  <c r="K32" i="6"/>
  <c r="L32" i="6"/>
  <c r="O45" i="6"/>
  <c r="AL14" i="5"/>
  <c r="W9" i="5"/>
  <c r="M45" i="6"/>
  <c r="K44" i="6"/>
  <c r="Q35" i="5"/>
  <c r="V18" i="5"/>
  <c r="AH18" i="5"/>
  <c r="AL22" i="5"/>
  <c r="Q38" i="5"/>
  <c r="W19" i="5"/>
  <c r="W23" i="5"/>
  <c r="X19" i="5"/>
  <c r="AH22" i="5"/>
  <c r="AH19" i="5"/>
  <c r="AG29" i="5"/>
  <c r="W25" i="5"/>
  <c r="W24" i="5"/>
  <c r="AG24" i="5"/>
  <c r="Q27" i="5"/>
  <c r="AL19" i="5"/>
  <c r="AH20" i="5"/>
  <c r="Y22" i="5"/>
  <c r="AK22" i="5"/>
  <c r="AL21" i="5"/>
  <c r="AK23" i="5"/>
  <c r="W29" i="5"/>
  <c r="K53" i="5"/>
  <c r="B15" i="7"/>
  <c r="X35" i="5"/>
  <c r="V31" i="5"/>
  <c r="Q43" i="5"/>
  <c r="AK43" i="5"/>
  <c r="AG40" i="5"/>
  <c r="AL40" i="5"/>
  <c r="V30" i="5"/>
  <c r="AH30" i="5"/>
  <c r="AH35" i="5"/>
  <c r="Q42" i="5"/>
  <c r="AK42" i="5"/>
  <c r="W40" i="5"/>
  <c r="W36" i="5"/>
  <c r="Q41" i="5"/>
  <c r="AH29" i="5"/>
  <c r="V29" i="5"/>
  <c r="X37" i="5"/>
  <c r="AL41" i="5"/>
  <c r="W41" i="5"/>
  <c r="W46" i="5"/>
  <c r="AG32" i="5"/>
  <c r="K35" i="6"/>
  <c r="AG42" i="5"/>
  <c r="Y32" i="5"/>
  <c r="AK32" i="5"/>
  <c r="X26" i="5"/>
  <c r="V38" i="5"/>
  <c r="AH38" i="5"/>
  <c r="O40" i="6"/>
  <c r="AH45" i="5"/>
  <c r="V45" i="5"/>
  <c r="W31" i="5"/>
  <c r="W34" i="5"/>
  <c r="V40" i="5"/>
  <c r="AH40" i="5"/>
  <c r="L36" i="6"/>
  <c r="K34" i="6"/>
  <c r="M36" i="6"/>
  <c r="W44" i="5"/>
  <c r="AL23" i="5"/>
  <c r="AG23" i="5"/>
  <c r="Q37" i="5"/>
  <c r="Q34" i="5"/>
  <c r="AL27" i="5"/>
  <c r="AL31" i="5"/>
  <c r="AG39" i="5"/>
  <c r="L35" i="6"/>
  <c r="N38" i="6"/>
  <c r="X45" i="5"/>
  <c r="Q29" i="5"/>
  <c r="Q28" i="5"/>
  <c r="Q25" i="5"/>
  <c r="Q26" i="5"/>
  <c r="W39" i="5"/>
  <c r="Q45" i="5"/>
  <c r="Q44" i="5"/>
  <c r="M37" i="6"/>
  <c r="O35" i="6"/>
  <c r="AL24" i="5"/>
  <c r="AG37" i="5"/>
  <c r="N34" i="6"/>
  <c r="Y35" i="5"/>
  <c r="AK35" i="5"/>
  <c r="O43" i="6"/>
  <c r="N36" i="6"/>
  <c r="O36" i="6"/>
  <c r="W32" i="5"/>
  <c r="W33" i="5"/>
  <c r="X47" i="5"/>
  <c r="Q40" i="5"/>
  <c r="Q39" i="5"/>
  <c r="N35" i="6"/>
  <c r="O42" i="6"/>
  <c r="AG31" i="5"/>
  <c r="B10" i="7"/>
  <c r="Y42" i="5"/>
  <c r="N37" i="6"/>
  <c r="AH43" i="5"/>
  <c r="V43" i="5"/>
  <c r="V24" i="5"/>
  <c r="AH24" i="5"/>
  <c r="O41" i="6"/>
  <c r="W45" i="5"/>
  <c r="O37" i="6"/>
  <c r="AL25" i="5"/>
  <c r="AK46" i="5"/>
  <c r="Y46" i="5"/>
  <c r="X41" i="5"/>
  <c r="AG44" i="5"/>
  <c r="V33" i="5"/>
  <c r="AH33" i="5"/>
  <c r="O38" i="6"/>
  <c r="J34" i="6"/>
  <c r="X32" i="5"/>
  <c r="O34" i="6"/>
  <c r="AK41" i="5"/>
  <c r="Y41" i="5"/>
  <c r="AL47" i="5"/>
  <c r="M35" i="6"/>
  <c r="AG38" i="5"/>
  <c r="Y38" i="5"/>
  <c r="AK38" i="5"/>
  <c r="AK24" i="5"/>
  <c r="Y24" i="5"/>
  <c r="X25" i="5"/>
  <c r="W22" i="5"/>
  <c r="Q36" i="5"/>
  <c r="AG34" i="5"/>
  <c r="X42" i="5"/>
  <c r="O39" i="6"/>
  <c r="Y31" i="5"/>
  <c r="AK31" i="5"/>
  <c r="Q33" i="5"/>
  <c r="AK27" i="5"/>
  <c r="Y27" i="5"/>
  <c r="V39" i="5"/>
  <c r="AH39" i="5"/>
  <c r="M34" i="6"/>
  <c r="X40" i="5"/>
  <c r="X24" i="5"/>
  <c r="S67" i="3"/>
  <c r="AL43" i="5"/>
  <c r="V35" i="5"/>
  <c r="Y43" i="5"/>
  <c r="R53" i="5"/>
  <c r="AL46" i="5"/>
  <c r="AL29" i="5"/>
  <c r="AH36" i="5"/>
  <c r="V36" i="5"/>
  <c r="X39" i="5"/>
  <c r="AH42" i="5"/>
  <c r="V42" i="5"/>
  <c r="W26" i="5"/>
  <c r="X28" i="5"/>
  <c r="W35" i="5"/>
  <c r="AH37" i="5"/>
  <c r="V37" i="5"/>
  <c r="W37" i="5"/>
  <c r="X44" i="5"/>
  <c r="V25" i="5"/>
  <c r="AH25" i="5"/>
  <c r="W27" i="5"/>
  <c r="AL38" i="5"/>
  <c r="AL42" i="5"/>
  <c r="Y39" i="5"/>
  <c r="AK39" i="5"/>
  <c r="AL45" i="5"/>
  <c r="AK45" i="5"/>
  <c r="Y45" i="5"/>
  <c r="AK26" i="5"/>
  <c r="Y26" i="5"/>
  <c r="X27" i="5"/>
  <c r="AG25" i="5"/>
  <c r="X34" i="5"/>
  <c r="AG33" i="5"/>
  <c r="AK36" i="5"/>
  <c r="Y36" i="5"/>
  <c r="AL36" i="5"/>
  <c r="AK40" i="5"/>
  <c r="Y40" i="5"/>
  <c r="X36" i="5"/>
  <c r="W42" i="5"/>
  <c r="V26" i="5"/>
  <c r="AH26" i="5"/>
  <c r="AH32" i="5"/>
  <c r="V32" i="5"/>
  <c r="AL32" i="5"/>
  <c r="AL44" i="5"/>
  <c r="X43" i="5"/>
  <c r="AL28" i="5"/>
  <c r="AK28" i="5"/>
  <c r="Y28" i="5"/>
  <c r="X33" i="5"/>
  <c r="AG41" i="5"/>
  <c r="AL39" i="5"/>
  <c r="W38" i="5"/>
  <c r="AL30" i="5"/>
  <c r="X38" i="5"/>
  <c r="AK44" i="5"/>
  <c r="Y44" i="5"/>
  <c r="AK25" i="5"/>
  <c r="Y25" i="5"/>
  <c r="Q54" i="5"/>
  <c r="AK37" i="5"/>
  <c r="Y37" i="5"/>
  <c r="P54" i="5"/>
  <c r="AH41" i="5"/>
  <c r="V41" i="5"/>
  <c r="AL33" i="5"/>
  <c r="AK34" i="5"/>
  <c r="Y34" i="5"/>
  <c r="AL35" i="5"/>
  <c r="AK33" i="5"/>
  <c r="Y33" i="5"/>
  <c r="AL37" i="5"/>
  <c r="AL34" i="5"/>
  <c r="AG35" i="5"/>
  <c r="AG36" i="5"/>
  <c r="W43" i="5"/>
  <c r="AL26" i="5"/>
  <c r="Y29" i="5"/>
  <c r="AK29" i="5"/>
  <c r="AH34" i="5"/>
  <c r="V34" i="5"/>
  <c r="Q53" i="5"/>
  <c r="W54" i="5"/>
  <c r="X54" i="5"/>
  <c r="AL55" i="5"/>
  <c r="E15" i="7"/>
  <c r="AL54" i="5"/>
  <c r="G15" i="7"/>
  <c r="AK53" i="5"/>
  <c r="F14" i="7"/>
  <c r="AG55" i="5"/>
  <c r="E10" i="7"/>
  <c r="AK54" i="5"/>
  <c r="G14" i="7"/>
  <c r="W53" i="5"/>
  <c r="AL53" i="5"/>
  <c r="F15" i="7"/>
  <c r="V53" i="5"/>
  <c r="V54" i="5"/>
  <c r="AG54" i="5"/>
  <c r="G10" i="7"/>
  <c r="AG53" i="5"/>
  <c r="F10" i="7"/>
  <c r="Y54" i="5"/>
  <c r="AK55" i="5"/>
  <c r="E14" i="7"/>
  <c r="Y53" i="5"/>
  <c r="AH54" i="5"/>
  <c r="G11" i="7"/>
  <c r="AH55" i="5"/>
  <c r="E11" i="7"/>
  <c r="AH53" i="5"/>
  <c r="F11" i="7"/>
  <c r="AI53" i="5"/>
  <c r="F12" i="7"/>
  <c r="X53" i="5"/>
  <c r="AI54" i="5"/>
  <c r="G12" i="7"/>
  <c r="AJ53" i="5"/>
  <c r="F13" i="7"/>
  <c r="AJ55" i="5"/>
  <c r="E13" i="7"/>
  <c r="Z53" i="5"/>
  <c r="S65" i="3"/>
  <c r="S68" i="3"/>
  <c r="S69" i="3"/>
  <c r="S73" i="3"/>
  <c r="S71" i="3"/>
</calcChain>
</file>

<file path=xl/comments1.xml><?xml version="1.0" encoding="utf-8"?>
<comments xmlns="http://schemas.openxmlformats.org/spreadsheetml/2006/main">
  <authors>
    <author>rebrenner</author>
  </authors>
  <commentList>
    <comment ref="F7" authorId="0">
      <text>
        <r>
          <rPr>
            <b/>
            <sz val="9"/>
            <color indexed="81"/>
            <rFont val="Tahoma"/>
            <family val="2"/>
          </rPr>
          <t>rebrenner:</t>
        </r>
        <r>
          <rPr>
            <sz val="9"/>
            <color indexed="81"/>
            <rFont val="Tahoma"/>
            <family val="2"/>
          </rPr>
          <t xml:space="preserve">
</t>
        </r>
        <r>
          <rPr>
            <sz val="14"/>
            <color indexed="81"/>
            <rFont val="Tahoma"/>
            <family val="2"/>
          </rPr>
          <t>The 2015 PWS chum salmon forecast point estimate is the total run size for the previous year (2014). This was chosen based on having the lowest MAPE. The range was calculated using the absolute percentage error from all previous years using this same forecast method.  For example the upper and lower bounds were calculated as = point estimate/(1 +lowest absolute percentage error) and point estimate/(1+largest absolute percentage error). This has been calculated within the tab, 'Forecast Evaluation Total Run'.
In future years we should explore developing prediction intervals using non-normal distributions, as the distribution of total run size appears to exhibit non-normality.  It is likely a lognormal, gamma, etc distribution. This is likely the source of  prediction intervals  from previous forecasts which often included zero, despite never having a run size of zero.</t>
        </r>
      </text>
    </comment>
  </commentList>
</comments>
</file>

<file path=xl/comments2.xml><?xml version="1.0" encoding="utf-8"?>
<comments xmlns="http://schemas.openxmlformats.org/spreadsheetml/2006/main">
  <authors>
    <author>rebrenner</author>
    <author>Steve Moffitt</author>
    <author>Richard Merizon</author>
    <author>Moffitt, Steve D (DFG)</author>
    <author>ramerizon</author>
  </authors>
  <commentList>
    <comment ref="D4" authorId="0">
      <text>
        <r>
          <rPr>
            <b/>
            <sz val="9"/>
            <color indexed="81"/>
            <rFont val="Tahoma"/>
            <family val="2"/>
          </rPr>
          <t>rebrenner:</t>
        </r>
        <r>
          <rPr>
            <sz val="9"/>
            <color indexed="81"/>
            <rFont val="Tahoma"/>
            <family val="2"/>
          </rPr>
          <t xml:space="preserve">
Each year, need to change within the Read Me tab and it will be automatically updated here and elsewhere.</t>
        </r>
      </text>
    </comment>
    <comment ref="U4" authorId="1">
      <text>
        <r>
          <rPr>
            <b/>
            <sz val="8"/>
            <color indexed="81"/>
            <rFont val="Tahoma"/>
            <family val="2"/>
          </rPr>
          <t>Steve Moffitt:</t>
        </r>
        <r>
          <rPr>
            <sz val="8"/>
            <color indexed="81"/>
            <rFont val="Tahoma"/>
            <family val="2"/>
          </rPr>
          <t xml:space="preserve">
</t>
        </r>
        <r>
          <rPr>
            <sz val="12"/>
            <color indexed="81"/>
            <rFont val="Tahoma"/>
            <family val="2"/>
          </rPr>
          <t>Confidence Interval = t_n-1,.02 * MSE +/- Forecast</t>
        </r>
      </text>
    </comment>
    <comment ref="AA4" authorId="0">
      <text>
        <r>
          <rPr>
            <b/>
            <sz val="8"/>
            <color indexed="81"/>
            <rFont val="Tahoma"/>
            <family val="2"/>
          </rPr>
          <t>rebrenner:</t>
        </r>
        <r>
          <rPr>
            <sz val="8"/>
            <color indexed="81"/>
            <rFont val="Tahoma"/>
            <family val="2"/>
          </rPr>
          <t xml:space="preserve">
for 80% C.I.</t>
        </r>
      </text>
    </comment>
    <comment ref="D9" authorId="1">
      <text>
        <r>
          <rPr>
            <sz val="8"/>
            <color indexed="81"/>
            <rFont val="Tahoma"/>
            <family val="2"/>
          </rPr>
          <t>Solomon Gulch Hatchery brood and est. cpf catch contributions were taken from AMR table F.7 during years with hatchery influence.  2000 - Present use total CPF catch.</t>
        </r>
      </text>
    </comment>
    <comment ref="F9" authorId="0">
      <text>
        <r>
          <rPr>
            <b/>
            <sz val="9"/>
            <color indexed="81"/>
            <rFont val="Tahoma"/>
            <family val="2"/>
          </rPr>
          <t>rebrenner:</t>
        </r>
        <r>
          <rPr>
            <sz val="9"/>
            <color indexed="81"/>
            <rFont val="Tahoma"/>
            <family val="2"/>
          </rPr>
          <t xml:space="preserve">
After 1986 WHN hatchery stock composed a measurable percentage of the total run.
Coghill run. 1970 - 1986 chum runs to PWS were entirely wild stock.</t>
        </r>
      </text>
    </comment>
    <comment ref="I9" authorId="2">
      <text>
        <r>
          <rPr>
            <sz val="8"/>
            <color indexed="81"/>
            <rFont val="Tahoma"/>
            <family val="2"/>
          </rPr>
          <t>Subtract catches before 7/20 from the Port San Juan subdistrict (60), SHA and THA (61 and 62) to achieve a WILD chum estimate.</t>
        </r>
      </text>
    </comment>
    <comment ref="J9" authorId="1">
      <text>
        <r>
          <rPr>
            <sz val="8"/>
            <color indexed="81"/>
            <rFont val="Tahoma"/>
            <family val="2"/>
          </rPr>
          <t xml:space="preserve">Use only chum salmon caught outside of the Port Chalmers subdistrict for WILD contribution.
</t>
        </r>
      </text>
    </comment>
    <comment ref="P9" authorId="1">
      <text>
        <r>
          <rPr>
            <sz val="8"/>
            <color indexed="81"/>
            <rFont val="Tahoma"/>
            <family val="2"/>
          </rPr>
          <t>Data taken from AMR table E.9</t>
        </r>
      </text>
    </comment>
    <comment ref="Q9" authorId="3">
      <text>
        <r>
          <rPr>
            <b/>
            <sz val="9"/>
            <color indexed="81"/>
            <rFont val="Tahoma"/>
            <family val="2"/>
          </rPr>
          <t>Moffitt, Steve D (DFG):</t>
        </r>
        <r>
          <rPr>
            <sz val="9"/>
            <color indexed="81"/>
            <rFont val="Tahoma"/>
            <family val="2"/>
          </rPr>
          <t xml:space="preserve">
All of these streams already have AUC estimates from aerial surveys. </t>
        </r>
      </text>
    </comment>
    <comment ref="P10" authorId="3">
      <text>
        <r>
          <rPr>
            <b/>
            <sz val="9"/>
            <color indexed="81"/>
            <rFont val="Tahoma"/>
            <family val="2"/>
          </rPr>
          <t>Moffitt, Steve D (DFG):</t>
        </r>
        <r>
          <rPr>
            <sz val="9"/>
            <color indexed="81"/>
            <rFont val="Tahoma"/>
            <family val="2"/>
          </rPr>
          <t xml:space="preserve">
Original data. Generally fewer than 150 of the 214 current index streams were flown. </t>
        </r>
      </text>
    </comment>
    <comment ref="W11" authorId="0">
      <text>
        <r>
          <rPr>
            <b/>
            <sz val="9"/>
            <color indexed="81"/>
            <rFont val="Tahoma"/>
            <family val="2"/>
          </rPr>
          <t>rebrenner:</t>
        </r>
        <r>
          <rPr>
            <sz val="9"/>
            <color indexed="81"/>
            <rFont val="Tahoma"/>
            <family val="2"/>
          </rPr>
          <t xml:space="preserve">
(forecast-actual)^2</t>
        </r>
      </text>
    </comment>
    <comment ref="P15" authorId="3">
      <text>
        <r>
          <rPr>
            <b/>
            <sz val="9"/>
            <color indexed="81"/>
            <rFont val="Tahoma"/>
            <family val="2"/>
          </rPr>
          <t>Moffitt, Steve D (DFG):</t>
        </r>
        <r>
          <rPr>
            <sz val="9"/>
            <color indexed="81"/>
            <rFont val="Tahoma"/>
            <family val="2"/>
          </rPr>
          <t xml:space="preserve">
Recalculated in June 2014 using only current 214 index streams, streams with &gt;3 surveys, and a stream life of 12.6 days.  For all of these years, 149 or more of the 214 index streams had estimates.</t>
        </r>
      </text>
    </comment>
    <comment ref="Q17" authorId="1">
      <text>
        <r>
          <rPr>
            <b/>
            <sz val="8"/>
            <color indexed="81"/>
            <rFont val="Tahoma"/>
            <family val="2"/>
          </rPr>
          <t>Rick Merizon:</t>
        </r>
        <r>
          <rPr>
            <sz val="8"/>
            <color indexed="81"/>
            <rFont val="Tahoma"/>
            <family val="2"/>
          </rPr>
          <t xml:space="preserve"> No data available, 197 is a 5-year average (1972-1976).</t>
        </r>
      </text>
    </comment>
    <comment ref="F27" authorId="0">
      <text>
        <r>
          <rPr>
            <b/>
            <sz val="9"/>
            <color indexed="81"/>
            <rFont val="Tahoma"/>
            <family val="2"/>
          </rPr>
          <t>rebrenner:</t>
        </r>
        <r>
          <rPr>
            <sz val="9"/>
            <color indexed="81"/>
            <rFont val="Tahoma"/>
            <family val="2"/>
          </rPr>
          <t xml:space="preserve">
Uses average commercial harvest of wild chum salmon from the Coghill District 1970-1986.</t>
        </r>
      </text>
    </comment>
    <comment ref="H27" authorId="0">
      <text>
        <r>
          <rPr>
            <b/>
            <sz val="9"/>
            <color indexed="81"/>
            <rFont val="Tahoma"/>
            <family val="2"/>
          </rPr>
          <t>rebrenner:</t>
        </r>
        <r>
          <rPr>
            <sz val="9"/>
            <color indexed="81"/>
            <rFont val="Tahoma"/>
            <family val="2"/>
          </rPr>
          <t xml:space="preserve">
</t>
        </r>
        <r>
          <rPr>
            <sz val="14"/>
            <color indexed="81"/>
            <rFont val="Tahoma"/>
            <family val="2"/>
          </rPr>
          <t>Uses average of harvest from 1970-1986. After 1986 a significant proportion of the harvest was of hatchery origin.</t>
        </r>
      </text>
    </comment>
    <comment ref="Q27" authorId="1">
      <text>
        <r>
          <rPr>
            <b/>
            <sz val="8"/>
            <color indexed="81"/>
            <rFont val="Tahoma"/>
            <family val="2"/>
          </rPr>
          <t>Coghill weir only!</t>
        </r>
      </text>
    </comment>
    <comment ref="I29" authorId="1">
      <text>
        <r>
          <rPr>
            <b/>
            <sz val="8"/>
            <color indexed="81"/>
            <rFont val="Tahoma"/>
            <family val="2"/>
          </rPr>
          <t>Closed due to oil contamination</t>
        </r>
      </text>
    </comment>
    <comment ref="J29" authorId="1">
      <text>
        <r>
          <rPr>
            <b/>
            <sz val="8"/>
            <color indexed="81"/>
            <rFont val="Tahoma"/>
            <family val="2"/>
          </rPr>
          <t>Closed due to oil contamination</t>
        </r>
        <r>
          <rPr>
            <sz val="8"/>
            <color indexed="81"/>
            <rFont val="Tahoma"/>
            <family val="2"/>
          </rPr>
          <t xml:space="preserve">
</t>
        </r>
      </text>
    </comment>
    <comment ref="Q38" authorId="1">
      <text>
        <r>
          <rPr>
            <b/>
            <sz val="8"/>
            <color indexed="81"/>
            <rFont val="Tahoma"/>
            <family val="2"/>
          </rPr>
          <t>Coghill weir only!</t>
        </r>
        <r>
          <rPr>
            <sz val="8"/>
            <color indexed="81"/>
            <rFont val="Tahoma"/>
            <family val="2"/>
          </rPr>
          <t xml:space="preserve">
</t>
        </r>
      </text>
    </comment>
    <comment ref="Q41" authorId="2">
      <text>
        <r>
          <rPr>
            <sz val="8"/>
            <color indexed="81"/>
            <rFont val="Tahoma"/>
            <family val="2"/>
          </rPr>
          <t>AMR app. C.3 and D.3</t>
        </r>
        <r>
          <rPr>
            <sz val="8"/>
            <color indexed="81"/>
            <rFont val="Tahoma"/>
            <family val="2"/>
          </rPr>
          <t xml:space="preserve">
</t>
        </r>
      </text>
    </comment>
    <comment ref="F42" authorId="2">
      <text>
        <r>
          <rPr>
            <sz val="8"/>
            <color indexed="81"/>
            <rFont val="Tahoma"/>
            <family val="2"/>
          </rPr>
          <t xml:space="preserve">Coghill District chum salmon escapement was lower (7,430) than goal (29,600 - 37,500).  This CPF harvest estimate MAY be too high!
</t>
        </r>
      </text>
    </comment>
    <comment ref="J42" authorId="2">
      <text>
        <r>
          <rPr>
            <sz val="8"/>
            <color indexed="81"/>
            <rFont val="Tahoma"/>
            <family val="2"/>
          </rPr>
          <t>All 2002 chum salmon caught were in the Port Chalmers subdistrict and assumed to be 100% hatchery fish.</t>
        </r>
        <r>
          <rPr>
            <sz val="8"/>
            <color indexed="81"/>
            <rFont val="Tahoma"/>
            <family val="2"/>
          </rPr>
          <t xml:space="preserve">
</t>
        </r>
      </text>
    </comment>
    <comment ref="A43" authorId="4">
      <text>
        <r>
          <rPr>
            <b/>
            <sz val="8"/>
            <color indexed="81"/>
            <rFont val="Tahoma"/>
            <family val="2"/>
          </rPr>
          <t>ramerizon:</t>
        </r>
        <r>
          <rPr>
            <sz val="8"/>
            <color indexed="81"/>
            <rFont val="Tahoma"/>
            <family val="2"/>
          </rPr>
          <t xml:space="preserve">
All chum salmon district harvest totals were assumed to be wild except, Coghill and Montague where we actually had otolith contribution estimates.</t>
        </r>
      </text>
    </comment>
    <comment ref="F43" authorId="4">
      <text>
        <r>
          <rPr>
            <b/>
            <sz val="8"/>
            <color indexed="81"/>
            <rFont val="Tahoma"/>
            <family val="2"/>
          </rPr>
          <t>ramerizon:</t>
        </r>
        <r>
          <rPr>
            <sz val="8"/>
            <color indexed="81"/>
            <rFont val="Tahoma"/>
            <family val="2"/>
          </rPr>
          <t xml:space="preserve">
Calculated from thermally marked otolith contribution estimates, sampled from the CPF harvest in Coghill District 2003.</t>
        </r>
      </text>
    </comment>
    <comment ref="J43" authorId="4">
      <text>
        <r>
          <rPr>
            <b/>
            <sz val="8"/>
            <color indexed="81"/>
            <rFont val="Tahoma"/>
            <family val="2"/>
          </rPr>
          <t>ramerizon:</t>
        </r>
        <r>
          <rPr>
            <sz val="8"/>
            <color indexed="81"/>
            <rFont val="Tahoma"/>
            <family val="2"/>
          </rPr>
          <t xml:space="preserve">
Calculated from a contribution estimate from thermally marked otolith samples from the CPF harvest in the Pt. Chalmers subdistrict, Montague District, 2003.</t>
        </r>
      </text>
    </comment>
    <comment ref="A44" authorId="4">
      <text>
        <r>
          <rPr>
            <b/>
            <sz val="8"/>
            <color indexed="81"/>
            <rFont val="Tahoma"/>
            <family val="2"/>
          </rPr>
          <t>ramerizon:</t>
        </r>
        <r>
          <rPr>
            <sz val="8"/>
            <color indexed="81"/>
            <rFont val="Tahoma"/>
            <family val="2"/>
          </rPr>
          <t xml:space="preserve">
All chum salmon district harvest totals were assumed to be wild except, Coghil, Eshamy, and Montague where we actually had otolith contribution estimates.  Data based on PRELIMINARY contribution estimates (11/29/2004)</t>
        </r>
      </text>
    </comment>
    <comment ref="F44" authorId="4">
      <text>
        <r>
          <rPr>
            <b/>
            <sz val="8"/>
            <color indexed="81"/>
            <rFont val="Tahoma"/>
            <family val="2"/>
          </rPr>
          <t>ramerizon:</t>
        </r>
        <r>
          <rPr>
            <sz val="8"/>
            <color indexed="81"/>
            <rFont val="Tahoma"/>
            <family val="2"/>
          </rPr>
          <t xml:space="preserve">
Calculated from thermally marked otolith contribution estimates, sampled from the CPF harvest in Coghill District 2004.</t>
        </r>
      </text>
    </comment>
    <comment ref="H44" authorId="4">
      <text>
        <r>
          <rPr>
            <b/>
            <sz val="8"/>
            <color indexed="81"/>
            <rFont val="Tahoma"/>
            <family val="2"/>
          </rPr>
          <t>ramerizon:</t>
        </r>
        <r>
          <rPr>
            <sz val="8"/>
            <color indexed="81"/>
            <rFont val="Tahoma"/>
            <family val="2"/>
          </rPr>
          <t xml:space="preserve">
Wild stock estimates in the CPF harvest is based on thermal mark contribution estimates, 2004.</t>
        </r>
      </text>
    </comment>
    <comment ref="J44" authorId="4">
      <text>
        <r>
          <rPr>
            <b/>
            <sz val="8"/>
            <color indexed="81"/>
            <rFont val="Tahoma"/>
            <family val="2"/>
          </rPr>
          <t>ramerizon:</t>
        </r>
        <r>
          <rPr>
            <sz val="8"/>
            <color indexed="81"/>
            <rFont val="Tahoma"/>
            <family val="2"/>
          </rPr>
          <t xml:space="preserve">
Calculated from a contribution estimate from thermally marked otolith samples from the CPF harvest in the Pt. Chalmers subdistrict, Montague District, 2004.
</t>
        </r>
      </text>
    </comment>
    <comment ref="F45" authorId="4">
      <text>
        <r>
          <rPr>
            <b/>
            <sz val="8"/>
            <color indexed="81"/>
            <rFont val="Tahoma"/>
            <family val="2"/>
          </rPr>
          <t>ramerizon:</t>
        </r>
        <r>
          <rPr>
            <sz val="8"/>
            <color indexed="81"/>
            <rFont val="Tahoma"/>
            <family val="2"/>
          </rPr>
          <t xml:space="preserve">
Calculated from thermally marked otolith contribution estimates, sampled from the CPF harvest in Coghill District 2005.</t>
        </r>
      </text>
    </comment>
    <comment ref="H45" authorId="4">
      <text>
        <r>
          <rPr>
            <b/>
            <sz val="8"/>
            <color indexed="81"/>
            <rFont val="Tahoma"/>
            <family val="2"/>
          </rPr>
          <t>ramerizon:</t>
        </r>
        <r>
          <rPr>
            <sz val="8"/>
            <color indexed="81"/>
            <rFont val="Tahoma"/>
            <family val="2"/>
          </rPr>
          <t xml:space="preserve">
Wild stock estimates in the CPF harvest is based on thermal mark contribution estimates, 2005.</t>
        </r>
      </text>
    </comment>
    <comment ref="J45" authorId="4">
      <text>
        <r>
          <rPr>
            <b/>
            <sz val="8"/>
            <color indexed="81"/>
            <rFont val="Tahoma"/>
            <family val="2"/>
          </rPr>
          <t>ramerizon:</t>
        </r>
        <r>
          <rPr>
            <sz val="8"/>
            <color indexed="81"/>
            <rFont val="Tahoma"/>
            <family val="2"/>
          </rPr>
          <t xml:space="preserve">
Calculated from a contribution estimate from thermally marked otolith samples from the CPF harvest in the Pt. Chalmers subdistrict, Montague District, 2005.</t>
        </r>
      </text>
    </comment>
    <comment ref="Q45" authorId="4">
      <text>
        <r>
          <rPr>
            <b/>
            <sz val="8"/>
            <color indexed="81"/>
            <rFont val="Tahoma"/>
            <family val="2"/>
          </rPr>
          <t>ramerizon:</t>
        </r>
        <r>
          <rPr>
            <sz val="8"/>
            <color indexed="81"/>
            <rFont val="Tahoma"/>
            <family val="2"/>
          </rPr>
          <t xml:space="preserve">
Coghill weir - 386
Eshamy weir - 530</t>
        </r>
      </text>
    </comment>
    <comment ref="A46" authorId="1">
      <text>
        <r>
          <rPr>
            <b/>
            <sz val="8"/>
            <color indexed="81"/>
            <rFont val="Tahoma"/>
            <family val="2"/>
          </rPr>
          <t>Steve Moffitt:</t>
        </r>
        <r>
          <rPr>
            <sz val="8"/>
            <color indexed="81"/>
            <rFont val="Tahoma"/>
            <family val="2"/>
          </rPr>
          <t xml:space="preserve">
Wild contributions from the 2006 contribution tables.</t>
        </r>
      </text>
    </comment>
    <comment ref="Q46" authorId="1">
      <text>
        <r>
          <rPr>
            <b/>
            <sz val="8"/>
            <color indexed="81"/>
            <rFont val="Tahoma"/>
            <family val="2"/>
          </rPr>
          <t>Steve Moffitt:</t>
        </r>
        <r>
          <rPr>
            <sz val="8"/>
            <color indexed="81"/>
            <rFont val="Tahoma"/>
            <family val="2"/>
          </rPr>
          <t xml:space="preserve">
Check the otolith contributions to the weir samples - Probably most of these fish are hatchery fish</t>
        </r>
      </text>
    </comment>
    <comment ref="Q48" authorId="0">
      <text>
        <r>
          <rPr>
            <b/>
            <sz val="8"/>
            <color indexed="81"/>
            <rFont val="Tahoma"/>
            <family val="2"/>
          </rPr>
          <t>rebrenner:</t>
        </r>
        <r>
          <rPr>
            <sz val="8"/>
            <color indexed="81"/>
            <rFont val="Tahoma"/>
            <family val="2"/>
          </rPr>
          <t xml:space="preserve">
</t>
        </r>
        <r>
          <rPr>
            <sz val="12"/>
            <color indexed="81"/>
            <rFont val="Tahoma"/>
            <family val="2"/>
          </rPr>
          <t>From the folder Inseason\2008. Although, many of these were probably hatchery fish and need to be removed.  Check the straying study.</t>
        </r>
      </text>
    </comment>
    <comment ref="A49" authorId="0">
      <text>
        <r>
          <rPr>
            <b/>
            <sz val="8"/>
            <color indexed="81"/>
            <rFont val="Tahoma"/>
            <family val="2"/>
          </rPr>
          <t>rebrenner:</t>
        </r>
        <r>
          <rPr>
            <sz val="8"/>
            <color indexed="81"/>
            <rFont val="Tahoma"/>
            <family val="2"/>
          </rPr>
          <t xml:space="preserve">
All of these estimates obtained from: 2009_ContributionEstimateTables_Draft_03Dec2009.xls.
This file is located within the folder:
O:\DCF\Salmon\OTOLITH\CWT-TMID\Reports\Annual_CWT-TMID_Otolith\2009\DRAFTS
Most of these numbers should be quite close to the final harvest estimate.</t>
        </r>
      </text>
    </comment>
    <comment ref="Q49" authorId="0">
      <text>
        <r>
          <rPr>
            <b/>
            <sz val="8"/>
            <color indexed="81"/>
            <rFont val="Tahoma"/>
            <family val="2"/>
          </rPr>
          <t>rebrenner:</t>
        </r>
        <r>
          <rPr>
            <sz val="8"/>
            <color indexed="81"/>
            <rFont val="Tahoma"/>
            <family val="2"/>
          </rPr>
          <t xml:space="preserve">
</t>
        </r>
        <r>
          <rPr>
            <sz val="16"/>
            <color indexed="81"/>
            <rFont val="Tahoma"/>
            <family val="2"/>
          </rPr>
          <t>I am not going to use this because chum salmon escapement at Eshamy in past years has been mostly hatchery fish.</t>
        </r>
      </text>
    </comment>
    <comment ref="D50" authorId="0">
      <text>
        <r>
          <rPr>
            <b/>
            <sz val="9"/>
            <color indexed="81"/>
            <rFont val="Tahoma"/>
            <family val="2"/>
          </rPr>
          <t>rebrenner:</t>
        </r>
        <r>
          <rPr>
            <sz val="9"/>
            <color indexed="81"/>
            <rFont val="Tahoma"/>
            <family val="2"/>
          </rPr>
          <t xml:space="preserve">
From: O:\DCF\Salmon\OTOLITH\CWT-TMID\Reports\Annual_CWT-TMID_Otolith\2010\DRAFTS\[2010_ContributionEstimateTables_FINAL_no-formulas.xlsx]T10_CHUM_Otolith_Summary</t>
        </r>
      </text>
    </comment>
    <comment ref="D51" authorId="0">
      <text>
        <r>
          <rPr>
            <b/>
            <sz val="9"/>
            <color indexed="81"/>
            <rFont val="Tahoma"/>
            <family val="2"/>
          </rPr>
          <t>rebrenner:</t>
        </r>
        <r>
          <rPr>
            <sz val="9"/>
            <color indexed="81"/>
            <rFont val="Tahoma"/>
            <family val="2"/>
          </rPr>
          <t xml:space="preserve">
From: </t>
        </r>
        <r>
          <rPr>
            <sz val="14"/>
            <color indexed="81"/>
            <rFont val="Tahoma"/>
            <family val="2"/>
          </rPr>
          <t>DCF\Salmon\Otolith\CWT-TMID\111_Reports\Annual_CWT-TMID_Otolith\2011\DRAFTS\AUTOFILLContributionTables_DRAFT_ZephyrData_01Dec2011.xlsm</t>
        </r>
        <r>
          <rPr>
            <sz val="9"/>
            <color indexed="81"/>
            <rFont val="Tahoma"/>
            <family val="2"/>
          </rPr>
          <t xml:space="preserve">
Includes 23,496 from the CPF + 8115 from cost recovery in the Eastern District.</t>
        </r>
      </text>
    </comment>
    <comment ref="Q51" authorId="0">
      <text>
        <r>
          <rPr>
            <b/>
            <sz val="9"/>
            <color indexed="81"/>
            <rFont val="Tahoma"/>
            <family val="2"/>
          </rPr>
          <t>rebrenner:</t>
        </r>
        <r>
          <rPr>
            <sz val="9"/>
            <color indexed="81"/>
            <rFont val="Tahoma"/>
            <family val="2"/>
          </rPr>
          <t xml:space="preserve">
I'm going to assume that all Eshamy and Coghill weir chums were of hatchery origin</t>
        </r>
      </text>
    </comment>
    <comment ref="D52" authorId="0">
      <text>
        <r>
          <rPr>
            <b/>
            <sz val="9"/>
            <color indexed="81"/>
            <rFont val="Tahoma"/>
            <family val="2"/>
          </rPr>
          <t>rebrenner:</t>
        </r>
        <r>
          <rPr>
            <sz val="9"/>
            <color indexed="81"/>
            <rFont val="Tahoma"/>
            <family val="2"/>
          </rPr>
          <t xml:space="preserve">
</t>
        </r>
        <r>
          <rPr>
            <sz val="12"/>
            <color indexed="81"/>
            <rFont val="Tahoma"/>
            <family val="2"/>
          </rPr>
          <t xml:space="preserve">All estimates from:
O:\DCF\SALMON\OTOLITH\111_Reports\Annual_CWT-TMID_Otolith\2012\DRAFTS
</t>
        </r>
      </text>
    </comment>
    <comment ref="S62" authorId="0">
      <text>
        <r>
          <rPr>
            <b/>
            <sz val="8"/>
            <color indexed="81"/>
            <rFont val="Tahoma"/>
            <family val="2"/>
          </rPr>
          <t>rebrenner:</t>
        </r>
        <r>
          <rPr>
            <sz val="8"/>
            <color indexed="81"/>
            <rFont val="Tahoma"/>
            <family val="2"/>
          </rPr>
          <t xml:space="preserve">
I'm not sure this is correct, I'm just trying to find a way that generates CI's based on the past success of the "previous year" method.</t>
        </r>
      </text>
    </comment>
    <comment ref="O63" authorId="0">
      <text>
        <r>
          <rPr>
            <b/>
            <sz val="9"/>
            <color indexed="81"/>
            <rFont val="Tahoma"/>
            <family val="2"/>
          </rPr>
          <t>rebrenner:</t>
        </r>
        <r>
          <rPr>
            <sz val="9"/>
            <color indexed="81"/>
            <rFont val="Tahoma"/>
            <family val="2"/>
          </rPr>
          <t xml:space="preserve">
</t>
        </r>
        <r>
          <rPr>
            <sz val="12"/>
            <color indexed="81"/>
            <rFont val="Tahoma"/>
            <family val="2"/>
          </rPr>
          <t>The distribution of the total run size appears to have a sufficient deviation from normality to render prediction intervals invalid. This is probably why the lower bounds of our forecasts go to zero. More likely, total run size is a gamma, lognormal, negative binomial or Poisson distribution... Graph to the left was produced from JMP.</t>
        </r>
      </text>
    </comment>
    <comment ref="S65" authorId="0">
      <text>
        <r>
          <rPr>
            <b/>
            <sz val="8"/>
            <color indexed="81"/>
            <rFont val="Tahoma"/>
            <family val="2"/>
          </rPr>
          <t>rebrenner:</t>
        </r>
        <r>
          <rPr>
            <sz val="8"/>
            <color indexed="81"/>
            <rFont val="Tahoma"/>
            <family val="2"/>
          </rPr>
          <t xml:space="preserve">
Just the number of past years of forecast data to evaluate this method: 1971-2009
</t>
        </r>
      </text>
    </comment>
    <comment ref="W66" authorId="1">
      <text>
        <r>
          <rPr>
            <b/>
            <sz val="14"/>
            <color indexed="81"/>
            <rFont val="Tahoma"/>
            <family val="2"/>
          </rPr>
          <t>Steve Moffitt:</t>
        </r>
        <r>
          <rPr>
            <sz val="14"/>
            <color indexed="81"/>
            <rFont val="Tahoma"/>
            <family val="2"/>
          </rPr>
          <t xml:space="preserve">
Use this to calcaulate the  total run 80% CI. 
=Total run estimate (+/-) [t(n-1,0.2)*mean total run forecast error]
See Fried and Yuen 1989 for details.</t>
        </r>
        <r>
          <rPr>
            <sz val="22"/>
            <color indexed="81"/>
            <rFont val="Tahoma"/>
            <family val="2"/>
          </rPr>
          <t xml:space="preserve">
</t>
        </r>
      </text>
    </comment>
    <comment ref="X66" authorId="1">
      <text>
        <r>
          <rPr>
            <b/>
            <sz val="12"/>
            <color indexed="81"/>
            <rFont val="Tahoma"/>
            <family val="2"/>
          </rPr>
          <t>Steve Moffitt:</t>
        </r>
        <r>
          <rPr>
            <sz val="12"/>
            <color indexed="81"/>
            <rFont val="Tahoma"/>
            <family val="2"/>
          </rPr>
          <t xml:space="preserve">
80% CI as a percentage of the Total Run forecast.  Make sure this formula gets updated to the</t>
        </r>
        <r>
          <rPr>
            <sz val="12"/>
            <color indexed="10"/>
            <rFont val="Tahoma"/>
            <family val="2"/>
          </rPr>
          <t xml:space="preserve"> year you are forecastings Total Run.</t>
        </r>
      </text>
    </comment>
    <comment ref="R69"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
</t>
        </r>
        <r>
          <rPr>
            <sz val="20"/>
            <color indexed="81"/>
            <rFont val="Tahoma"/>
            <family val="2"/>
          </rPr>
          <t>BUT, for 2013 forecast we need to evaluate whether to use the Fried and Yuen 1987 method, which incorporates the past usage of this method to determine error intervals for a future forecast.</t>
        </r>
      </text>
    </comment>
  </commentList>
</comments>
</file>

<file path=xl/comments3.xml><?xml version="1.0" encoding="utf-8"?>
<comments xmlns="http://schemas.openxmlformats.org/spreadsheetml/2006/main">
  <authors>
    <author>Moffitt, Steve D (DFG)</author>
  </authors>
  <commentList>
    <comment ref="C8" authorId="0">
      <text>
        <r>
          <rPr>
            <b/>
            <sz val="8"/>
            <color indexed="81"/>
            <rFont val="Tahoma"/>
            <family val="2"/>
          </rPr>
          <t>Moffitt, Steve D (DFG):</t>
        </r>
        <r>
          <rPr>
            <sz val="8"/>
            <color indexed="81"/>
            <rFont val="Tahoma"/>
            <family val="2"/>
          </rPr>
          <t xml:space="preserve">
Prediction bounds calculated using preformance of previous forecasts from last 5 years. </t>
        </r>
      </text>
    </comment>
  </commentList>
</comments>
</file>

<file path=xl/comments4.xml><?xml version="1.0" encoding="utf-8"?>
<comments xmlns="http://schemas.openxmlformats.org/spreadsheetml/2006/main">
  <authors>
    <author>rebrenner</author>
  </authors>
  <commentList>
    <comment ref="U3" authorId="0">
      <text>
        <r>
          <rPr>
            <b/>
            <sz val="9"/>
            <color indexed="81"/>
            <rFont val="Tahoma"/>
            <family val="2"/>
          </rPr>
          <t>rebrenner:</t>
        </r>
        <r>
          <rPr>
            <sz val="9"/>
            <color indexed="81"/>
            <rFont val="Tahoma"/>
            <family val="2"/>
          </rPr>
          <t xml:space="preserve">
</t>
        </r>
        <r>
          <rPr>
            <sz val="20"/>
            <color indexed="81"/>
            <rFont val="Tahoma"/>
            <family val="2"/>
          </rPr>
          <t>(ACTUAL - Forecast)/ Forecast</t>
        </r>
      </text>
    </comment>
    <comment ref="AG3" authorId="0">
      <text>
        <r>
          <rPr>
            <b/>
            <sz val="9"/>
            <color indexed="81"/>
            <rFont val="Tahoma"/>
            <family val="2"/>
          </rPr>
          <t>rebrenner:</t>
        </r>
        <r>
          <rPr>
            <sz val="9"/>
            <color indexed="81"/>
            <rFont val="Tahoma"/>
            <family val="2"/>
          </rPr>
          <t xml:space="preserve">
</t>
        </r>
        <r>
          <rPr>
            <sz val="20"/>
            <color indexed="81"/>
            <rFont val="Tahoma"/>
            <family val="2"/>
          </rPr>
          <t>(ACTUAL - Forecast)/ Forecast</t>
        </r>
      </text>
    </comment>
    <comment ref="M5" authorId="0">
      <text>
        <r>
          <rPr>
            <b/>
            <sz val="9"/>
            <color indexed="81"/>
            <rFont val="Tahoma"/>
            <family val="2"/>
          </rPr>
          <t>rebrenner:</t>
        </r>
        <r>
          <rPr>
            <sz val="9"/>
            <color indexed="81"/>
            <rFont val="Tahoma"/>
            <family val="2"/>
          </rPr>
          <t xml:space="preserve">
</t>
        </r>
        <r>
          <rPr>
            <sz val="12"/>
            <color indexed="81"/>
            <rFont val="Tahoma"/>
            <family val="2"/>
          </rPr>
          <t xml:space="preserve">(FORECAST)-(ACTUAL)
</t>
        </r>
      </text>
    </comment>
    <comment ref="U66" authorId="0">
      <text>
        <r>
          <rPr>
            <b/>
            <sz val="9"/>
            <color indexed="81"/>
            <rFont val="Tahoma"/>
            <family val="2"/>
          </rPr>
          <t>rebrenner:</t>
        </r>
        <r>
          <rPr>
            <sz val="9"/>
            <color indexed="81"/>
            <rFont val="Tahoma"/>
            <family val="2"/>
          </rPr>
          <t xml:space="preserve">
Lower bound, based on forecasts since 1989</t>
        </r>
      </text>
    </comment>
    <comment ref="U67" authorId="0">
      <text>
        <r>
          <rPr>
            <b/>
            <sz val="9"/>
            <color indexed="81"/>
            <rFont val="Tahoma"/>
            <family val="2"/>
          </rPr>
          <t>rebrenner:</t>
        </r>
        <r>
          <rPr>
            <sz val="9"/>
            <color indexed="81"/>
            <rFont val="Tahoma"/>
            <family val="2"/>
          </rPr>
          <t xml:space="preserve">
</t>
        </r>
        <r>
          <rPr>
            <sz val="20"/>
            <color indexed="81"/>
            <rFont val="Tahoma"/>
            <family val="2"/>
          </rPr>
          <t xml:space="preserve">This is the forecast for 2015
</t>
        </r>
      </text>
    </comment>
    <comment ref="U68" authorId="0">
      <text>
        <r>
          <rPr>
            <b/>
            <sz val="9"/>
            <color indexed="81"/>
            <rFont val="Tahoma"/>
            <family val="2"/>
          </rPr>
          <t>rebrenner:</t>
        </r>
        <r>
          <rPr>
            <sz val="9"/>
            <color indexed="81"/>
            <rFont val="Tahoma"/>
            <family val="2"/>
          </rPr>
          <t xml:space="preserve">
Forecasts since 1989</t>
        </r>
      </text>
    </comment>
  </commentList>
</comments>
</file>

<file path=xl/comments5.xml><?xml version="1.0" encoding="utf-8"?>
<comments xmlns="http://schemas.openxmlformats.org/spreadsheetml/2006/main">
  <authors>
    <author>rebrenner</author>
  </authors>
  <commentList>
    <comment ref="Q4" authorId="0">
      <text>
        <r>
          <rPr>
            <b/>
            <sz val="9"/>
            <color indexed="81"/>
            <rFont val="Tahoma"/>
            <family val="2"/>
          </rPr>
          <t>rebrenner:</t>
        </r>
        <r>
          <rPr>
            <sz val="9"/>
            <color indexed="81"/>
            <rFont val="Tahoma"/>
            <family val="2"/>
          </rPr>
          <t xml:space="preserve">
</t>
        </r>
        <r>
          <rPr>
            <sz val="20"/>
            <color indexed="81"/>
            <rFont val="Tahoma"/>
            <family val="2"/>
          </rPr>
          <t>(ACTUAL - Forecast)/ Forecast</t>
        </r>
      </text>
    </comment>
    <comment ref="X4" authorId="0">
      <text>
        <r>
          <rPr>
            <b/>
            <sz val="9"/>
            <color indexed="81"/>
            <rFont val="Tahoma"/>
            <family val="2"/>
          </rPr>
          <t>rebrenner:</t>
        </r>
        <r>
          <rPr>
            <sz val="9"/>
            <color indexed="81"/>
            <rFont val="Tahoma"/>
            <family val="2"/>
          </rPr>
          <t xml:space="preserve">
</t>
        </r>
        <r>
          <rPr>
            <sz val="20"/>
            <color indexed="81"/>
            <rFont val="Tahoma"/>
            <family val="2"/>
          </rPr>
          <t>(ACTUAL - Forecast)/ Forecast</t>
        </r>
      </text>
    </comment>
  </commentList>
</comments>
</file>

<file path=xl/sharedStrings.xml><?xml version="1.0" encoding="utf-8"?>
<sst xmlns="http://schemas.openxmlformats.org/spreadsheetml/2006/main" count="184" uniqueCount="127">
  <si>
    <t>Total</t>
  </si>
  <si>
    <t>Weir</t>
  </si>
  <si>
    <t>n</t>
  </si>
  <si>
    <t>Table of t values (two tailed)</t>
  </si>
  <si>
    <t>Year</t>
  </si>
  <si>
    <t>Pre - Hatchery Influence</t>
  </si>
  <si>
    <t>* This spreadsheet was generated by Rick Merizon, 12/6/01.</t>
  </si>
  <si>
    <t xml:space="preserve">    </t>
  </si>
  <si>
    <t xml:space="preserve">subditrict catches).  From 1996 - 2001 an estimate of Coghill wild (121,621 - generated from Tim Joyce), and Eshamy (7,730)  </t>
  </si>
  <si>
    <t xml:space="preserve">was used.  These estimates were based on several studies completed in the early 1990s.  Coghill and Eshamy estimates </t>
  </si>
  <si>
    <t xml:space="preserve">prior to 1996 were  used based on the above average wild run returns from 1970 - 1986.  Northern, Southeast, </t>
  </si>
  <si>
    <t>Unakwik, and Northwestern District caught chum salmon are all assumed to be wild fish free of hatchery influence.</t>
  </si>
  <si>
    <t>Weir counts are composed of Coghill and Eshamy weir counts.  There were no weir counts for Eshamy weir in 1987 and 1998.</t>
  </si>
  <si>
    <t>Prince William Sound wild stock chum salmon forecast (Sound wide).</t>
  </si>
  <si>
    <t xml:space="preserve">Hatchery contributions were removed from SW (P. San Juan subdistrict before 7/20), and Montague (Port Chalmers </t>
  </si>
  <si>
    <r>
      <t xml:space="preserve">Adjusted WILD Chum Salmon Commercial Harvest by District </t>
    </r>
    <r>
      <rPr>
        <b/>
        <vertAlign val="superscript"/>
        <sz val="10"/>
        <rFont val="Times New Roman"/>
        <family val="1"/>
      </rPr>
      <t>a</t>
    </r>
  </si>
  <si>
    <t>Harvest</t>
  </si>
  <si>
    <t>Adjusted Aerial</t>
  </si>
  <si>
    <t>Forecast Year</t>
  </si>
  <si>
    <t>Lower</t>
  </si>
  <si>
    <t>Forecast (Midpt.)</t>
  </si>
  <si>
    <t>Upper</t>
  </si>
  <si>
    <t>Plus / Minus</t>
  </si>
  <si>
    <t>Rank of total run</t>
  </si>
  <si>
    <t xml:space="preserve">Confidence bounds = </t>
  </si>
  <si>
    <t>%</t>
  </si>
  <si>
    <t>α/2 =</t>
  </si>
  <si>
    <t>formula calculation</t>
  </si>
  <si>
    <t>(1-α/2) =</t>
  </si>
  <si>
    <t>z value =</t>
  </si>
  <si>
    <t>Our current chum salmon forecast is based on the average total run size for the past 5 years.</t>
  </si>
  <si>
    <t>However, we should also do analysis to compare how this method compares to 1) total run averages for the previous year, 2, 3, 4, 5, 10 and 20 years and 2) for the commercial harvest for these time periods</t>
  </si>
  <si>
    <t>YEAR</t>
  </si>
  <si>
    <t>Total Harvest</t>
  </si>
  <si>
    <t>Total Wild Run</t>
  </si>
  <si>
    <t>Previous Yr.</t>
  </si>
  <si>
    <t>2-yr average</t>
  </si>
  <si>
    <t>3-yr average</t>
  </si>
  <si>
    <t>4-yr average</t>
  </si>
  <si>
    <t>5-yr average</t>
  </si>
  <si>
    <t>10-year average</t>
  </si>
  <si>
    <t>Deviation from Forecast</t>
  </si>
  <si>
    <t>AVERAGE=</t>
  </si>
  <si>
    <t># of yeas it was the best predictor</t>
  </si>
  <si>
    <t>Std_Dev</t>
  </si>
  <si>
    <t>From a very simple analysis of the total run averages, it would appear that the PREVIOUS YEAR's total run size is the best predictor of the current year's total run size.</t>
  </si>
  <si>
    <t>This forecasting method is naïve and simplistic but seems to be the best choice in lieu of a more complicated sibling model, for which we do not have enough data to calibrate.</t>
  </si>
  <si>
    <t>TO DO:</t>
  </si>
  <si>
    <t>Enter your desired prediction interval bound</t>
  </si>
  <si>
    <t>10-Yr Averages:</t>
  </si>
  <si>
    <t>2) Double check the calculations for determining the forecast and any calculated averages</t>
  </si>
  <si>
    <t>STD_Dev</t>
  </si>
  <si>
    <t>Squared Error</t>
  </si>
  <si>
    <t>Percent Error</t>
  </si>
  <si>
    <t xml:space="preserve">Forecast </t>
  </si>
  <si>
    <t>Method:</t>
  </si>
  <si>
    <t>Total Squared Error</t>
  </si>
  <si>
    <t>Mean Error</t>
  </si>
  <si>
    <t>80% of Mean Error</t>
  </si>
  <si>
    <t>80% C. I.</t>
  </si>
  <si>
    <t>n-1 =</t>
  </si>
  <si>
    <t>t_n-1,0.2 =</t>
  </si>
  <si>
    <t>t-values</t>
  </si>
  <si>
    <t>alpha</t>
  </si>
  <si>
    <t xml:space="preserve">Forecast Using Previous Total Run </t>
  </si>
  <si>
    <t>Steve's Calculation of 80% PI</t>
  </si>
  <si>
    <t>Rich's calculation of 80% P.I. based on 1988 Fried, Cross and Yuen manuscript</t>
  </si>
  <si>
    <t>s d.p.=</t>
  </si>
  <si>
    <t xml:space="preserve">s p = </t>
  </si>
  <si>
    <t>SD</t>
  </si>
  <si>
    <t>t</t>
  </si>
  <si>
    <t>Desired P.I. (%)</t>
  </si>
  <si>
    <t>Return Year</t>
  </si>
  <si>
    <t>WILD Cost Recovery</t>
  </si>
  <si>
    <t>WILD Broodstock</t>
  </si>
  <si>
    <t>Forecast for NEXT year</t>
  </si>
  <si>
    <r>
      <t>Forecast:</t>
    </r>
    <r>
      <rPr>
        <b/>
        <sz val="16"/>
        <rFont val="Times New Roman"/>
        <family val="1"/>
      </rPr>
      <t xml:space="preserve">5 year </t>
    </r>
    <r>
      <rPr>
        <b/>
        <sz val="10"/>
        <rFont val="Times New Roman"/>
        <family val="1"/>
      </rPr>
      <t>average</t>
    </r>
  </si>
  <si>
    <t>Forecast: Previous year</t>
  </si>
  <si>
    <t>The problem is:  How to determine Prediction intervals for the naïve forecast based on previous total run size?</t>
  </si>
  <si>
    <t>Run Year Projected =</t>
  </si>
  <si>
    <t>Method</t>
  </si>
  <si>
    <t>Average return models</t>
  </si>
  <si>
    <t>Prev. Brood Yr.</t>
  </si>
  <si>
    <t>Prev. 2 brood years</t>
  </si>
  <si>
    <t>Prev. 3 brood years</t>
  </si>
  <si>
    <t>Prev. 4 brood years</t>
  </si>
  <si>
    <t>Prev. 5 brood years</t>
  </si>
  <si>
    <t>Prev. 10 brood years</t>
  </si>
  <si>
    <t>Exponential smoothing models</t>
  </si>
  <si>
    <t>All years with damping to lag 4</t>
  </si>
  <si>
    <t>Odd years with damping to lag 4</t>
  </si>
  <si>
    <t>All years lag 1 exp. Smoothing</t>
  </si>
  <si>
    <t>Odd years lag 1 exp. Smoothing</t>
  </si>
  <si>
    <t>Escapement-return regression models</t>
  </si>
  <si>
    <t>BYR return = BYR Esc.</t>
  </si>
  <si>
    <t>Ln(BYR return) = Ln(BYR Esc.)</t>
  </si>
  <si>
    <t>Confidence bounds based on the preformance of forecasts in the previous 5 years.</t>
  </si>
  <si>
    <t>Total Run</t>
  </si>
  <si>
    <t xml:space="preserve">Point </t>
  </si>
  <si>
    <t>L80%</t>
  </si>
  <si>
    <t>U80%</t>
  </si>
  <si>
    <t>MAPE</t>
  </si>
  <si>
    <t>SD of MAPE</t>
  </si>
  <si>
    <t>Eastern__221</t>
  </si>
  <si>
    <t>Northern__222</t>
  </si>
  <si>
    <t>Coghill__223</t>
  </si>
  <si>
    <t>SW__226</t>
  </si>
  <si>
    <t>Montague__227</t>
  </si>
  <si>
    <t>SE__228</t>
  </si>
  <si>
    <t>Unakwik__229</t>
  </si>
  <si>
    <t>Eshamy__225</t>
  </si>
  <si>
    <t>NW__224</t>
  </si>
  <si>
    <t>LARGEST OVER FORECAST</t>
  </si>
  <si>
    <t>LARGEST UNDER FORECAST</t>
  </si>
  <si>
    <t>FORECAST =</t>
  </si>
  <si>
    <t>1989-PRESENT</t>
  </si>
  <si>
    <t>Absolute percentage error (APE)</t>
  </si>
  <si>
    <t>MEAN Absolute Percentage Error</t>
  </si>
  <si>
    <t>Annual percentage error (PE)</t>
  </si>
  <si>
    <t>MAPE (all years)</t>
  </si>
  <si>
    <t>MAPE (1990-present)</t>
  </si>
  <si>
    <t>SD-MAPE (after 1989)</t>
  </si>
  <si>
    <t>Summary of forecast models examined for wild chum salmon for 2012.</t>
  </si>
  <si>
    <t>1) Fill in the correct value for the forecast year here!!!</t>
  </si>
  <si>
    <t>Escapement</t>
  </si>
  <si>
    <r>
      <t xml:space="preserve">Escapement </t>
    </r>
    <r>
      <rPr>
        <vertAlign val="superscript"/>
        <sz val="10"/>
        <rFont val="Times New Roman"/>
        <family val="1"/>
      </rPr>
      <t>b</t>
    </r>
  </si>
  <si>
    <t>Return Year Wild Harvest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</si>
</sst>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0_)"/>
    <numFmt numFmtId="165" formatCode="0.000"/>
    <numFmt numFmtId="166" formatCode="0.0%"/>
    <numFmt numFmtId="167" formatCode="0_)"/>
    <numFmt numFmtId="168" formatCode="0.00_);[Red]\(0.00\)"/>
    <numFmt numFmtId="169" formatCode="_(* #,##0_);_(* \(#,##0\);_(* &quot;-&quot;??_);_(@_)"/>
  </numFmts>
  <fonts count="59" x14ac:knownFonts="1">
    <font>
      <sz val="10"/>
      <name val="Times New Roman"/>
    </font>
    <font>
      <sz val="10"/>
      <name val="Times New Roman"/>
    </font>
    <font>
      <b/>
      <sz val="10"/>
      <name val="Times New Roman"/>
      <family val="1"/>
    </font>
    <font>
      <sz val="8"/>
      <color indexed="81"/>
      <name val="Tahoma"/>
      <family val="2"/>
    </font>
    <font>
      <b/>
      <sz val="8"/>
      <color indexed="81"/>
      <name val="Tahoma"/>
      <family val="2"/>
    </font>
    <font>
      <sz val="8"/>
      <name val="Times New Roman"/>
      <family val="1"/>
    </font>
    <font>
      <b/>
      <sz val="8"/>
      <name val="Times New Roman"/>
      <family val="1"/>
    </font>
    <font>
      <b/>
      <vertAlign val="superscript"/>
      <sz val="10"/>
      <name val="Times New Roman"/>
      <family val="1"/>
    </font>
    <font>
      <b/>
      <i/>
      <sz val="10"/>
      <color indexed="20"/>
      <name val="Times New Roman"/>
      <family val="1"/>
    </font>
    <font>
      <vertAlign val="superscript"/>
      <sz val="10"/>
      <name val="Times New Roman"/>
      <family val="1"/>
    </font>
    <font>
      <sz val="10"/>
      <color indexed="8"/>
      <name val="Times New Roman"/>
      <family val="1"/>
    </font>
    <font>
      <sz val="10"/>
      <name val="Times New Roman"/>
      <family val="1"/>
    </font>
    <font>
      <sz val="10"/>
      <color indexed="12"/>
      <name val="Times New Roman"/>
      <family val="1"/>
    </font>
    <font>
      <sz val="10"/>
      <color indexed="12"/>
      <name val="Times New Roman"/>
      <family val="1"/>
    </font>
    <font>
      <sz val="8"/>
      <name val="Times New Roman"/>
      <family val="1"/>
    </font>
    <font>
      <b/>
      <sz val="10"/>
      <color indexed="12"/>
      <name val="Times New Roman"/>
      <family val="1"/>
    </font>
    <font>
      <b/>
      <sz val="8"/>
      <color indexed="12"/>
      <name val="Times New Roman"/>
      <family val="1"/>
    </font>
    <font>
      <sz val="8"/>
      <color indexed="12"/>
      <name val="Times New Roman"/>
      <family val="1"/>
    </font>
    <font>
      <sz val="10"/>
      <color indexed="10"/>
      <name val="Arial"/>
      <family val="2"/>
    </font>
    <font>
      <sz val="10"/>
      <color indexed="12"/>
      <name val="Arial"/>
      <family val="2"/>
    </font>
    <font>
      <sz val="12"/>
      <color indexed="81"/>
      <name val="Tahoma"/>
      <family val="2"/>
    </font>
    <font>
      <sz val="10"/>
      <color indexed="10"/>
      <name val="Times New Roman"/>
      <family val="1"/>
    </font>
    <font>
      <b/>
      <sz val="12"/>
      <color indexed="81"/>
      <name val="Tahoma"/>
      <family val="2"/>
    </font>
    <font>
      <b/>
      <sz val="16"/>
      <name val="Times New Roman"/>
      <family val="1"/>
    </font>
    <font>
      <sz val="12"/>
      <name val="Times New Roman"/>
      <family val="1"/>
    </font>
    <font>
      <sz val="16"/>
      <color indexed="81"/>
      <name val="Tahoma"/>
      <family val="2"/>
    </font>
    <font>
      <sz val="12"/>
      <color indexed="12"/>
      <name val="SWISS"/>
    </font>
    <font>
      <sz val="12"/>
      <color indexed="10"/>
      <name val="SWISS"/>
    </font>
    <font>
      <sz val="22"/>
      <color indexed="81"/>
      <name val="Tahoma"/>
      <family val="2"/>
    </font>
    <font>
      <sz val="12"/>
      <color indexed="10"/>
      <name val="Tahoma"/>
      <family val="2"/>
    </font>
    <font>
      <sz val="12"/>
      <color indexed="12"/>
      <name val="Arial MT"/>
    </font>
    <font>
      <sz val="12"/>
      <color indexed="12"/>
      <name val="Times New Roman"/>
      <family val="1"/>
    </font>
    <font>
      <sz val="12"/>
      <color indexed="12"/>
      <name val="Times New Roman"/>
      <family val="1"/>
    </font>
    <font>
      <sz val="14"/>
      <color indexed="81"/>
      <name val="Tahoma"/>
      <family val="2"/>
    </font>
    <font>
      <vertAlign val="subscript"/>
      <sz val="14"/>
      <color indexed="81"/>
      <name val="Tahoma"/>
      <family val="2"/>
    </font>
    <font>
      <b/>
      <sz val="12"/>
      <name val="Times New Roman"/>
      <family val="1"/>
    </font>
    <font>
      <sz val="20"/>
      <color indexed="81"/>
      <name val="Tahoma"/>
      <family val="2"/>
    </font>
    <font>
      <b/>
      <sz val="14"/>
      <name val="Tahoma"/>
      <family val="2"/>
    </font>
    <font>
      <sz val="10"/>
      <name val="Tahoma"/>
      <family val="2"/>
    </font>
    <font>
      <b/>
      <sz val="10"/>
      <color indexed="10"/>
      <name val="Times New Roman"/>
      <family val="1"/>
    </font>
    <font>
      <sz val="9"/>
      <color indexed="81"/>
      <name val="Tahoma"/>
      <family val="2"/>
    </font>
    <font>
      <b/>
      <sz val="9"/>
      <color indexed="81"/>
      <name val="Tahoma"/>
      <family val="2"/>
    </font>
    <font>
      <b/>
      <sz val="14"/>
      <name val="Times New Roman"/>
      <family val="1"/>
    </font>
    <font>
      <b/>
      <u/>
      <sz val="12"/>
      <name val="Times New Roman"/>
      <family val="1"/>
    </font>
    <font>
      <sz val="10"/>
      <color indexed="12"/>
      <name val="Times New Roman"/>
      <family val="1"/>
    </font>
    <font>
      <u/>
      <sz val="10"/>
      <name val="Times New Roman"/>
      <family val="1"/>
    </font>
    <font>
      <b/>
      <u/>
      <sz val="14"/>
      <name val="Tahoma"/>
      <family val="2"/>
    </font>
    <font>
      <b/>
      <sz val="14"/>
      <color indexed="81"/>
      <name val="Tahoma"/>
      <family val="2"/>
    </font>
    <font>
      <b/>
      <sz val="18"/>
      <name val="Times New Roman"/>
      <family val="1"/>
    </font>
    <font>
      <sz val="20"/>
      <color indexed="12"/>
      <name val="Times New Roman"/>
      <family val="1"/>
    </font>
    <font>
      <b/>
      <sz val="14"/>
      <color indexed="12"/>
      <name val="Times New Roman"/>
      <family val="1"/>
    </font>
    <font>
      <b/>
      <i/>
      <sz val="12"/>
      <color indexed="20"/>
      <name val="Times New Roman"/>
      <family val="1"/>
    </font>
    <font>
      <sz val="10"/>
      <color rgb="FF0000FF"/>
      <name val="Times New Roman"/>
      <family val="1"/>
    </font>
    <font>
      <sz val="10"/>
      <color rgb="FFFF0000"/>
      <name val="Times New Roman"/>
      <family val="1"/>
    </font>
    <font>
      <b/>
      <sz val="18"/>
      <color rgb="FF0000FF"/>
      <name val="Times New Roman"/>
      <family val="1"/>
    </font>
    <font>
      <b/>
      <sz val="10"/>
      <color rgb="FF0000FF"/>
      <name val="Times New Roman"/>
      <family val="1"/>
    </font>
    <font>
      <sz val="10"/>
      <color theme="1"/>
      <name val="Times New Roman"/>
      <family val="1"/>
    </font>
    <font>
      <u/>
      <sz val="10"/>
      <color theme="10"/>
      <name val="Times New Roman"/>
    </font>
    <font>
      <u/>
      <sz val="10"/>
      <color theme="11"/>
      <name val="Times New Roman"/>
    </font>
  </fonts>
  <fills count="7">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s>
  <borders count="3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right/>
      <top style="medium">
        <color auto="1"/>
      </top>
      <bottom/>
      <diagonal/>
    </border>
    <border>
      <left/>
      <right style="medium">
        <color auto="1"/>
      </right>
      <top style="medium">
        <color auto="1"/>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medium">
        <color auto="1"/>
      </right>
      <top/>
      <bottom/>
      <diagonal/>
    </border>
    <border>
      <left/>
      <right/>
      <top style="medium">
        <color auto="1"/>
      </top>
      <bottom style="thin">
        <color auto="1"/>
      </bottom>
      <diagonal/>
    </border>
    <border>
      <left/>
      <right style="thin">
        <color auto="1"/>
      </right>
      <top/>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indexed="8"/>
      </left>
      <right/>
      <top style="thin">
        <color auto="1"/>
      </top>
      <bottom style="thin">
        <color auto="1"/>
      </bottom>
      <diagonal/>
    </border>
    <border>
      <left/>
      <right/>
      <top/>
      <bottom style="thick">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indexed="8"/>
      </left>
      <right/>
      <top/>
      <bottom style="medium">
        <color auto="1"/>
      </bottom>
      <diagonal/>
    </border>
    <border>
      <left/>
      <right/>
      <top style="thin">
        <color auto="1"/>
      </top>
      <bottom/>
      <diagonal/>
    </border>
    <border>
      <left/>
      <right/>
      <top style="thin">
        <color auto="1"/>
      </top>
      <bottom style="thick">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cellStyleXfs>
  <cellXfs count="259">
    <xf numFmtId="0" fontId="0" fillId="0" borderId="0" xfId="0"/>
    <xf numFmtId="0" fontId="2" fillId="0" borderId="0" xfId="0" applyFont="1"/>
    <xf numFmtId="164" fontId="0" fillId="0" borderId="0" xfId="0" applyNumberFormat="1" applyProtection="1"/>
    <xf numFmtId="164" fontId="0" fillId="0" borderId="1" xfId="0" applyNumberFormat="1" applyBorder="1" applyProtection="1"/>
    <xf numFmtId="164" fontId="0" fillId="0" borderId="2" xfId="0" applyNumberFormat="1" applyBorder="1" applyProtection="1"/>
    <xf numFmtId="164" fontId="0" fillId="0" borderId="3" xfId="0" applyNumberFormat="1" applyBorder="1" applyProtection="1"/>
    <xf numFmtId="164" fontId="0" fillId="0" borderId="4" xfId="0" applyNumberFormat="1" applyBorder="1" applyProtection="1"/>
    <xf numFmtId="164" fontId="0" fillId="0" borderId="5" xfId="0" applyNumberFormat="1" applyBorder="1" applyProtection="1"/>
    <xf numFmtId="164" fontId="0" fillId="0" borderId="6" xfId="0" applyNumberFormat="1" applyBorder="1" applyProtection="1"/>
    <xf numFmtId="164" fontId="0" fillId="0" borderId="7" xfId="0" applyNumberFormat="1" applyBorder="1" applyProtection="1"/>
    <xf numFmtId="164" fontId="0" fillId="0" borderId="8" xfId="0" applyNumberFormat="1" applyBorder="1" applyProtection="1"/>
    <xf numFmtId="0" fontId="0" fillId="0" borderId="0" xfId="0" applyAlignment="1">
      <alignment wrapText="1"/>
    </xf>
    <xf numFmtId="0" fontId="13" fillId="0" borderId="0" xfId="0" applyFont="1" applyAlignment="1">
      <alignment wrapText="1"/>
    </xf>
    <xf numFmtId="3" fontId="13" fillId="0" borderId="0" xfId="0" applyNumberFormat="1" applyFont="1" applyAlignment="1">
      <alignment wrapText="1"/>
    </xf>
    <xf numFmtId="3" fontId="0" fillId="0" borderId="0" xfId="0" applyNumberFormat="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3" fontId="15" fillId="0" borderId="0" xfId="0" applyNumberFormat="1" applyFont="1" applyAlignment="1">
      <alignment wrapText="1"/>
    </xf>
    <xf numFmtId="0" fontId="15" fillId="0" borderId="0" xfId="0" applyFont="1" applyAlignment="1">
      <alignment wrapText="1"/>
    </xf>
    <xf numFmtId="1" fontId="13" fillId="0" borderId="0" xfId="0" applyNumberFormat="1" applyFont="1" applyBorder="1" applyAlignment="1">
      <alignment wrapText="1"/>
    </xf>
    <xf numFmtId="0" fontId="2" fillId="0" borderId="12" xfId="0" applyFont="1" applyBorder="1" applyAlignment="1">
      <alignment wrapText="1"/>
    </xf>
    <xf numFmtId="0" fontId="24" fillId="0" borderId="0" xfId="0" applyFont="1"/>
    <xf numFmtId="3" fontId="13" fillId="0" borderId="0" xfId="0" applyNumberFormat="1" applyFont="1" applyBorder="1" applyAlignment="1">
      <alignment wrapText="1"/>
    </xf>
    <xf numFmtId="0" fontId="0" fillId="0" borderId="0" xfId="0" applyBorder="1" applyAlignment="1">
      <alignment wrapText="1"/>
    </xf>
    <xf numFmtId="0" fontId="0" fillId="0" borderId="0" xfId="0" applyFill="1" applyBorder="1" applyAlignment="1">
      <alignment horizontal="center" wrapText="1"/>
    </xf>
    <xf numFmtId="0" fontId="2" fillId="0" borderId="0" xfId="0" applyFont="1" applyFill="1" applyBorder="1" applyAlignment="1">
      <alignment horizontal="center" wrapText="1"/>
    </xf>
    <xf numFmtId="0" fontId="2"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0" fontId="5" fillId="0" borderId="0" xfId="0" applyFont="1" applyBorder="1" applyAlignment="1">
      <alignment horizontal="center" wrapText="1"/>
    </xf>
    <xf numFmtId="0" fontId="5" fillId="0" borderId="0" xfId="0" applyFont="1" applyAlignment="1">
      <alignment wrapText="1"/>
    </xf>
    <xf numFmtId="0" fontId="5" fillId="0" borderId="14" xfId="0" applyFont="1" applyBorder="1" applyAlignment="1">
      <alignment horizontal="center" wrapText="1"/>
    </xf>
    <xf numFmtId="3" fontId="5" fillId="0" borderId="0" xfId="0" applyNumberFormat="1" applyFont="1" applyAlignment="1">
      <alignment wrapText="1"/>
    </xf>
    <xf numFmtId="3" fontId="0" fillId="0" borderId="0" xfId="0" applyNumberFormat="1" applyBorder="1" applyAlignment="1">
      <alignment wrapText="1"/>
    </xf>
    <xf numFmtId="0" fontId="5" fillId="0" borderId="12" xfId="0" applyFont="1" applyBorder="1" applyAlignment="1">
      <alignment wrapText="1"/>
    </xf>
    <xf numFmtId="0" fontId="5" fillId="0" borderId="0" xfId="0" applyFont="1" applyBorder="1" applyAlignment="1">
      <alignment wrapText="1"/>
    </xf>
    <xf numFmtId="0" fontId="17" fillId="0" borderId="0" xfId="0" applyFont="1" applyAlignment="1">
      <alignment wrapText="1"/>
    </xf>
    <xf numFmtId="0" fontId="0" fillId="0" borderId="15" xfId="0" applyBorder="1" applyAlignment="1">
      <alignment horizontal="right" wrapText="1"/>
    </xf>
    <xf numFmtId="0" fontId="0" fillId="2" borderId="15" xfId="0" applyFill="1" applyBorder="1" applyAlignment="1">
      <alignment wrapText="1"/>
    </xf>
    <xf numFmtId="0" fontId="0" fillId="0" borderId="15" xfId="0" applyFill="1"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 xfId="0" applyBorder="1" applyAlignment="1" applyProtection="1">
      <alignment horizontal="right" wrapText="1"/>
    </xf>
    <xf numFmtId="167" fontId="26" fillId="0" borderId="3" xfId="0" applyNumberFormat="1" applyFont="1" applyBorder="1" applyAlignment="1" applyProtection="1">
      <alignment wrapText="1"/>
    </xf>
    <xf numFmtId="0" fontId="0" fillId="0" borderId="17" xfId="0" applyBorder="1" applyAlignment="1" applyProtection="1">
      <alignment wrapText="1"/>
    </xf>
    <xf numFmtId="0" fontId="0" fillId="0" borderId="18" xfId="0" applyBorder="1" applyAlignment="1" applyProtection="1">
      <alignment horizontal="center" wrapText="1"/>
    </xf>
    <xf numFmtId="0" fontId="0" fillId="0" borderId="0" xfId="0" applyBorder="1" applyAlignment="1">
      <alignment horizontal="right" wrapText="1"/>
    </xf>
    <xf numFmtId="165" fontId="19" fillId="0" borderId="0" xfId="0" applyNumberFormat="1" applyFont="1" applyBorder="1" applyAlignment="1">
      <alignment wrapText="1"/>
    </xf>
    <xf numFmtId="0" fontId="0" fillId="0" borderId="19" xfId="0" applyBorder="1" applyAlignment="1">
      <alignment wrapText="1"/>
    </xf>
    <xf numFmtId="0" fontId="0" fillId="0" borderId="6" xfId="0" applyBorder="1" applyAlignment="1" applyProtection="1">
      <alignment horizontal="right" wrapText="1"/>
    </xf>
    <xf numFmtId="0" fontId="30" fillId="0" borderId="8" xfId="0" applyFont="1" applyBorder="1" applyAlignment="1" applyProtection="1">
      <alignment wrapText="1"/>
    </xf>
    <xf numFmtId="0" fontId="0" fillId="0" borderId="17" xfId="0" applyBorder="1" applyAlignment="1" applyProtection="1">
      <alignment horizontal="center" wrapText="1"/>
    </xf>
    <xf numFmtId="164" fontId="0" fillId="0" borderId="18" xfId="0" applyNumberFormat="1" applyBorder="1" applyAlignment="1" applyProtection="1">
      <alignment horizontal="center" wrapText="1"/>
    </xf>
    <xf numFmtId="0" fontId="0" fillId="0" borderId="0" xfId="0" applyAlignment="1">
      <alignment horizontal="right" wrapText="1"/>
    </xf>
    <xf numFmtId="0" fontId="0" fillId="0" borderId="1" xfId="0" applyBorder="1" applyAlignment="1" applyProtection="1">
      <alignment horizontal="center" wrapText="1"/>
    </xf>
    <xf numFmtId="164" fontId="0" fillId="0" borderId="3" xfId="0" applyNumberFormat="1" applyBorder="1" applyAlignment="1" applyProtection="1">
      <alignment horizontal="center" wrapText="1"/>
    </xf>
    <xf numFmtId="0" fontId="0" fillId="0" borderId="12" xfId="0" applyBorder="1" applyAlignment="1">
      <alignment horizontal="right" wrapText="1"/>
    </xf>
    <xf numFmtId="165" fontId="19" fillId="0" borderId="12" xfId="0" applyNumberFormat="1" applyFont="1" applyBorder="1" applyAlignment="1">
      <alignment wrapText="1"/>
    </xf>
    <xf numFmtId="0" fontId="0" fillId="0" borderId="4" xfId="0" applyBorder="1" applyAlignment="1" applyProtection="1">
      <alignment horizontal="center" wrapText="1"/>
    </xf>
    <xf numFmtId="164" fontId="0" fillId="0" borderId="5" xfId="0" applyNumberFormat="1" applyBorder="1" applyAlignment="1" applyProtection="1">
      <alignment horizontal="center" wrapText="1"/>
    </xf>
    <xf numFmtId="0" fontId="23" fillId="0" borderId="0" xfId="0" applyFont="1" applyAlignment="1">
      <alignment wrapText="1"/>
    </xf>
    <xf numFmtId="0" fontId="0" fillId="0" borderId="14" xfId="0" applyBorder="1" applyAlignment="1">
      <alignment wrapText="1"/>
    </xf>
    <xf numFmtId="0" fontId="0" fillId="0" borderId="20" xfId="0" applyBorder="1" applyAlignment="1">
      <alignment wrapText="1"/>
    </xf>
    <xf numFmtId="0" fontId="5" fillId="0" borderId="12" xfId="0" applyFont="1" applyBorder="1" applyAlignment="1">
      <alignment horizontal="center" wrapText="1"/>
    </xf>
    <xf numFmtId="0" fontId="0" fillId="0" borderId="12" xfId="0" applyFill="1" applyBorder="1" applyAlignment="1">
      <alignment horizontal="center" wrapText="1"/>
    </xf>
    <xf numFmtId="0" fontId="0" fillId="0" borderId="12" xfId="0" applyBorder="1" applyAlignment="1">
      <alignment horizontal="center" wrapText="1"/>
    </xf>
    <xf numFmtId="0" fontId="13" fillId="0" borderId="12" xfId="0" applyFont="1" applyFill="1" applyBorder="1" applyAlignment="1">
      <alignment horizontal="center" wrapText="1"/>
    </xf>
    <xf numFmtId="0" fontId="0" fillId="0" borderId="0" xfId="0" applyFill="1" applyAlignment="1">
      <alignment wrapText="1"/>
    </xf>
    <xf numFmtId="3" fontId="0" fillId="0" borderId="0" xfId="0" applyNumberFormat="1" applyFill="1" applyAlignment="1">
      <alignment wrapText="1"/>
    </xf>
    <xf numFmtId="3" fontId="12" fillId="0" borderId="0" xfId="0" applyNumberFormat="1" applyFont="1" applyAlignment="1">
      <alignment wrapText="1"/>
    </xf>
    <xf numFmtId="3" fontId="11" fillId="0" borderId="0" xfId="0" applyNumberFormat="1" applyFont="1" applyFill="1" applyAlignment="1">
      <alignment wrapText="1"/>
    </xf>
    <xf numFmtId="0" fontId="13" fillId="0" borderId="0" xfId="0" applyFont="1" applyAlignment="1">
      <alignment horizontal="center" wrapText="1"/>
    </xf>
    <xf numFmtId="10" fontId="0" fillId="0" borderId="0" xfId="0" applyNumberFormat="1" applyAlignment="1">
      <alignment wrapText="1"/>
    </xf>
    <xf numFmtId="3" fontId="12" fillId="0" borderId="0" xfId="0" applyNumberFormat="1" applyFont="1" applyFill="1" applyAlignment="1">
      <alignment wrapText="1"/>
    </xf>
    <xf numFmtId="3" fontId="0" fillId="0" borderId="14" xfId="0" applyNumberFormat="1" applyFill="1" applyBorder="1" applyAlignment="1">
      <alignment wrapText="1"/>
    </xf>
    <xf numFmtId="3" fontId="0" fillId="0" borderId="14" xfId="0" applyNumberFormat="1" applyBorder="1" applyAlignment="1">
      <alignment wrapText="1"/>
    </xf>
    <xf numFmtId="3" fontId="0" fillId="0" borderId="0" xfId="0" applyNumberFormat="1" applyFill="1" applyBorder="1" applyAlignment="1">
      <alignment wrapText="1"/>
    </xf>
    <xf numFmtId="3" fontId="11" fillId="0" borderId="0" xfId="0" applyNumberFormat="1" applyFont="1" applyBorder="1" applyAlignment="1">
      <alignment wrapText="1"/>
    </xf>
    <xf numFmtId="164" fontId="0" fillId="0" borderId="21" xfId="0" applyNumberFormat="1" applyBorder="1" applyAlignment="1" applyProtection="1">
      <alignment horizontal="center" wrapText="1"/>
    </xf>
    <xf numFmtId="3" fontId="10" fillId="0" borderId="0" xfId="0" applyNumberFormat="1" applyFont="1" applyFill="1" applyAlignment="1">
      <alignment wrapText="1"/>
    </xf>
    <xf numFmtId="0" fontId="0" fillId="0" borderId="6" xfId="0" applyBorder="1" applyAlignment="1" applyProtection="1">
      <alignment horizontal="center" wrapText="1"/>
    </xf>
    <xf numFmtId="164" fontId="0" fillId="0" borderId="8" xfId="0" applyNumberFormat="1" applyBorder="1" applyAlignment="1" applyProtection="1">
      <alignment horizontal="center" wrapText="1"/>
    </xf>
    <xf numFmtId="3" fontId="21" fillId="0" borderId="0" xfId="0" applyNumberFormat="1" applyFont="1" applyFill="1" applyAlignment="1">
      <alignment wrapText="1"/>
    </xf>
    <xf numFmtId="0" fontId="8" fillId="0" borderId="22" xfId="0" applyFont="1" applyBorder="1" applyAlignment="1">
      <alignment horizontal="center" wrapText="1"/>
    </xf>
    <xf numFmtId="3" fontId="15" fillId="0" borderId="22" xfId="0" applyNumberFormat="1" applyFont="1" applyBorder="1" applyAlignment="1">
      <alignment horizontal="right" wrapText="1"/>
    </xf>
    <xf numFmtId="0" fontId="15" fillId="3" borderId="23" xfId="0" applyFont="1" applyFill="1" applyBorder="1" applyAlignment="1">
      <alignment horizontal="center" wrapText="1"/>
    </xf>
    <xf numFmtId="0" fontId="8" fillId="0" borderId="16" xfId="0" applyFont="1" applyBorder="1" applyAlignment="1">
      <alignment horizontal="left" wrapText="1"/>
    </xf>
    <xf numFmtId="0" fontId="0" fillId="0" borderId="24" xfId="0" applyBorder="1" applyAlignment="1" applyProtection="1">
      <alignment wrapText="1"/>
    </xf>
    <xf numFmtId="11" fontId="26" fillId="0" borderId="22" xfId="0" applyNumberFormat="1" applyFont="1" applyBorder="1" applyAlignment="1" applyProtection="1">
      <alignment horizontal="right" wrapText="1"/>
    </xf>
    <xf numFmtId="166" fontId="26" fillId="0" borderId="0" xfId="0" applyNumberFormat="1" applyFont="1" applyBorder="1" applyAlignment="1" applyProtection="1">
      <alignment wrapText="1"/>
    </xf>
    <xf numFmtId="3" fontId="15" fillId="4" borderId="23" xfId="0" applyNumberFormat="1" applyFont="1" applyFill="1" applyBorder="1" applyAlignment="1">
      <alignment wrapText="1"/>
    </xf>
    <xf numFmtId="0" fontId="0" fillId="0" borderId="4" xfId="0" applyBorder="1" applyAlignment="1" applyProtection="1">
      <alignment wrapText="1"/>
    </xf>
    <xf numFmtId="3" fontId="26" fillId="0" borderId="0" xfId="0" applyNumberFormat="1" applyFont="1" applyBorder="1" applyAlignment="1" applyProtection="1">
      <alignment horizontal="right" wrapText="1"/>
    </xf>
    <xf numFmtId="0" fontId="6" fillId="0" borderId="10" xfId="0" applyFont="1" applyBorder="1" applyAlignment="1">
      <alignment horizontal="left" wrapText="1"/>
    </xf>
    <xf numFmtId="3" fontId="16" fillId="0" borderId="19" xfId="0" applyNumberFormat="1" applyFont="1" applyBorder="1" applyAlignment="1">
      <alignment wrapText="1"/>
    </xf>
    <xf numFmtId="4" fontId="13" fillId="0" borderId="0" xfId="0" applyNumberFormat="1" applyFont="1" applyBorder="1" applyAlignment="1">
      <alignment wrapText="1"/>
    </xf>
    <xf numFmtId="0" fontId="6" fillId="0" borderId="11" xfId="0" applyFont="1" applyBorder="1" applyAlignment="1">
      <alignment horizontal="left" wrapText="1"/>
    </xf>
    <xf numFmtId="164" fontId="31" fillId="0" borderId="19" xfId="0" applyNumberFormat="1" applyFont="1" applyBorder="1" applyAlignment="1" applyProtection="1">
      <alignment horizontal="right"/>
    </xf>
    <xf numFmtId="3" fontId="32" fillId="0" borderId="19" xfId="0" applyNumberFormat="1" applyFont="1" applyBorder="1" applyAlignment="1">
      <alignment horizontal="right"/>
    </xf>
    <xf numFmtId="3" fontId="16" fillId="0" borderId="16" xfId="0" applyNumberFormat="1" applyFont="1" applyBorder="1" applyAlignment="1">
      <alignment wrapText="1"/>
    </xf>
    <xf numFmtId="0" fontId="2" fillId="0" borderId="10" xfId="0" applyFont="1" applyBorder="1" applyAlignment="1">
      <alignment wrapText="1"/>
    </xf>
    <xf numFmtId="0" fontId="35" fillId="0" borderId="19" xfId="0" applyFont="1" applyBorder="1" applyAlignment="1">
      <alignment wrapText="1"/>
    </xf>
    <xf numFmtId="0" fontId="2" fillId="0" borderId="14" xfId="0" applyFont="1" applyBorder="1" applyAlignment="1"/>
    <xf numFmtId="0" fontId="11" fillId="0" borderId="12" xfId="0" applyFont="1" applyBorder="1" applyAlignment="1">
      <alignment horizontal="center" wrapText="1"/>
    </xf>
    <xf numFmtId="3" fontId="11" fillId="0" borderId="0" xfId="0" applyNumberFormat="1" applyFont="1" applyAlignment="1">
      <alignment horizontal="center" wrapText="1"/>
    </xf>
    <xf numFmtId="3" fontId="11" fillId="0" borderId="0" xfId="0" applyNumberFormat="1" applyFont="1" applyBorder="1" applyAlignment="1">
      <alignment horizontal="center" wrapText="1"/>
    </xf>
    <xf numFmtId="0" fontId="0" fillId="0" borderId="0" xfId="0" applyAlignment="1">
      <alignment vertical="top" wrapText="1"/>
    </xf>
    <xf numFmtId="0" fontId="0" fillId="0" borderId="25" xfId="0" applyBorder="1" applyAlignment="1">
      <alignment wrapText="1"/>
    </xf>
    <xf numFmtId="0" fontId="38" fillId="0" borderId="25" xfId="0" applyFont="1" applyBorder="1" applyAlignment="1">
      <alignment wrapText="1"/>
    </xf>
    <xf numFmtId="0" fontId="37" fillId="0" borderId="25" xfId="0" applyFont="1" applyBorder="1" applyAlignment="1">
      <alignment horizontal="center"/>
    </xf>
    <xf numFmtId="0" fontId="37" fillId="0" borderId="25" xfId="0" applyFont="1" applyBorder="1" applyAlignment="1"/>
    <xf numFmtId="0" fontId="12" fillId="0" borderId="0" xfId="0" applyFont="1" applyAlignment="1">
      <alignment wrapText="1"/>
    </xf>
    <xf numFmtId="0" fontId="2" fillId="0" borderId="0" xfId="0" applyFont="1" applyAlignment="1">
      <alignment horizontal="right" wrapText="1"/>
    </xf>
    <xf numFmtId="0" fontId="39" fillId="0" borderId="0" xfId="0" applyFont="1" applyAlignment="1">
      <alignment horizontal="center" wrapText="1"/>
    </xf>
    <xf numFmtId="3" fontId="11" fillId="0" borderId="0" xfId="0" applyNumberFormat="1" applyFont="1"/>
    <xf numFmtId="3" fontId="39" fillId="0" borderId="0" xfId="0" applyNumberFormat="1" applyFont="1" applyFill="1" applyBorder="1" applyAlignment="1">
      <alignment wrapText="1"/>
    </xf>
    <xf numFmtId="0" fontId="52" fillId="0" borderId="0" xfId="0" applyFont="1" applyAlignment="1">
      <alignment wrapText="1"/>
    </xf>
    <xf numFmtId="10" fontId="52" fillId="0" borderId="0" xfId="0" applyNumberFormat="1" applyFont="1" applyAlignment="1">
      <alignment wrapText="1"/>
    </xf>
    <xf numFmtId="3" fontId="12" fillId="0" borderId="15" xfId="0" applyNumberFormat="1" applyFont="1" applyBorder="1" applyAlignment="1">
      <alignment wrapText="1"/>
    </xf>
    <xf numFmtId="0" fontId="0" fillId="0" borderId="0" xfId="0" applyAlignment="1">
      <alignment horizontal="left" wrapText="1"/>
    </xf>
    <xf numFmtId="0" fontId="0" fillId="0" borderId="0" xfId="0" applyFill="1" applyBorder="1" applyAlignment="1">
      <alignment horizontal="left" wrapText="1"/>
    </xf>
    <xf numFmtId="0" fontId="0" fillId="0" borderId="0" xfId="0" applyNumberFormat="1" applyAlignment="1">
      <alignment horizontal="left" wrapText="1"/>
    </xf>
    <xf numFmtId="10" fontId="0" fillId="0" borderId="0" xfId="0" applyNumberFormat="1" applyAlignment="1">
      <alignment horizontal="left" wrapText="1"/>
    </xf>
    <xf numFmtId="166" fontId="26" fillId="0" borderId="0" xfId="0" applyNumberFormat="1" applyFont="1" applyBorder="1" applyAlignment="1" applyProtection="1">
      <alignment horizontal="left" wrapText="1"/>
    </xf>
    <xf numFmtId="0" fontId="0" fillId="0" borderId="15" xfId="0" applyBorder="1" applyAlignment="1">
      <alignment horizontal="left" wrapText="1"/>
    </xf>
    <xf numFmtId="0" fontId="0" fillId="0" borderId="0" xfId="0" applyBorder="1" applyAlignment="1">
      <alignment horizontal="left" wrapText="1"/>
    </xf>
    <xf numFmtId="0" fontId="0" fillId="0" borderId="12" xfId="0" applyBorder="1" applyAlignment="1">
      <alignment horizontal="left" wrapText="1"/>
    </xf>
    <xf numFmtId="3" fontId="15" fillId="4" borderId="26" xfId="0" applyNumberFormat="1" applyFont="1" applyFill="1" applyBorder="1" applyAlignment="1">
      <alignment wrapText="1"/>
    </xf>
    <xf numFmtId="3" fontId="16" fillId="0" borderId="15" xfId="0" applyNumberFormat="1" applyFont="1" applyBorder="1" applyAlignment="1">
      <alignment wrapText="1"/>
    </xf>
    <xf numFmtId="0" fontId="35" fillId="0" borderId="0" xfId="0" applyFont="1" applyBorder="1" applyAlignment="1">
      <alignment wrapText="1"/>
    </xf>
    <xf numFmtId="0" fontId="0" fillId="0" borderId="27" xfId="0" applyBorder="1" applyAlignment="1" applyProtection="1">
      <alignment wrapText="1"/>
    </xf>
    <xf numFmtId="166" fontId="26" fillId="0" borderId="28" xfId="0" applyNumberFormat="1" applyFont="1" applyBorder="1" applyAlignment="1" applyProtection="1">
      <alignment wrapText="1"/>
    </xf>
    <xf numFmtId="0" fontId="0" fillId="0" borderId="10" xfId="0" applyBorder="1" applyAlignment="1" applyProtection="1">
      <alignment wrapText="1"/>
    </xf>
    <xf numFmtId="166" fontId="26" fillId="0" borderId="19" xfId="0" applyNumberFormat="1" applyFont="1" applyBorder="1" applyAlignment="1" applyProtection="1">
      <alignment wrapText="1"/>
    </xf>
    <xf numFmtId="3" fontId="27" fillId="0" borderId="0" xfId="0" applyNumberFormat="1" applyFont="1" applyBorder="1" applyAlignment="1" applyProtection="1">
      <alignment wrapText="1"/>
    </xf>
    <xf numFmtId="0" fontId="0" fillId="0" borderId="11" xfId="0" applyBorder="1" applyAlignment="1" applyProtection="1">
      <alignment horizontal="left" wrapText="1"/>
    </xf>
    <xf numFmtId="0" fontId="0" fillId="0" borderId="29" xfId="0" applyBorder="1" applyAlignment="1" applyProtection="1">
      <alignment horizontal="left" wrapText="1"/>
    </xf>
    <xf numFmtId="3" fontId="26" fillId="2" borderId="12" xfId="0" applyNumberFormat="1" applyFont="1" applyFill="1" applyBorder="1" applyAlignment="1" applyProtection="1">
      <alignment wrapText="1"/>
    </xf>
    <xf numFmtId="166" fontId="26" fillId="2" borderId="13" xfId="0" applyNumberFormat="1" applyFont="1" applyFill="1" applyBorder="1" applyAlignment="1" applyProtection="1">
      <alignment wrapText="1"/>
    </xf>
    <xf numFmtId="0" fontId="42" fillId="0" borderId="0" xfId="0" applyFont="1"/>
    <xf numFmtId="0" fontId="24" fillId="0" borderId="0" xfId="0" applyFont="1" applyAlignment="1">
      <alignment horizontal="right"/>
    </xf>
    <xf numFmtId="0" fontId="24" fillId="0" borderId="30" xfId="0" applyFont="1" applyBorder="1"/>
    <xf numFmtId="0" fontId="24" fillId="0" borderId="14" xfId="0" applyFont="1" applyBorder="1" applyAlignment="1">
      <alignment horizontal="right"/>
    </xf>
    <xf numFmtId="0" fontId="43" fillId="0" borderId="0" xfId="0" applyFont="1" applyAlignment="1">
      <alignment horizontal="right"/>
    </xf>
    <xf numFmtId="0" fontId="24" fillId="0" borderId="0" xfId="0" applyFont="1" applyBorder="1" applyAlignment="1">
      <alignment horizontal="right" wrapText="1"/>
    </xf>
    <xf numFmtId="0" fontId="43" fillId="0" borderId="0" xfId="0" applyFont="1"/>
    <xf numFmtId="0" fontId="24" fillId="5" borderId="0" xfId="0" applyFont="1" applyFill="1"/>
    <xf numFmtId="0" fontId="35" fillId="0" borderId="22" xfId="0" applyFont="1" applyBorder="1"/>
    <xf numFmtId="0" fontId="43" fillId="0" borderId="0" xfId="0" applyFont="1" applyBorder="1"/>
    <xf numFmtId="0" fontId="24" fillId="0" borderId="0" xfId="0" applyFont="1" applyBorder="1"/>
    <xf numFmtId="0" fontId="24" fillId="0" borderId="14" xfId="0" applyFont="1" applyBorder="1"/>
    <xf numFmtId="0" fontId="24" fillId="5" borderId="0" xfId="0" applyFont="1" applyFill="1" applyAlignment="1">
      <alignment horizontal="center"/>
    </xf>
    <xf numFmtId="0" fontId="24" fillId="0" borderId="0" xfId="0" applyFont="1" applyAlignment="1">
      <alignment horizontal="center"/>
    </xf>
    <xf numFmtId="0" fontId="24" fillId="5" borderId="14" xfId="0" applyFont="1" applyFill="1" applyBorder="1" applyAlignment="1">
      <alignment horizontal="right"/>
    </xf>
    <xf numFmtId="0" fontId="11" fillId="0" borderId="12" xfId="0" applyFont="1" applyFill="1" applyBorder="1" applyAlignment="1">
      <alignment horizontal="center" wrapText="1"/>
    </xf>
    <xf numFmtId="168" fontId="13" fillId="0" borderId="0" xfId="0" applyNumberFormat="1" applyFont="1" applyAlignment="1">
      <alignment wrapText="1"/>
    </xf>
    <xf numFmtId="168" fontId="0" fillId="0" borderId="0" xfId="0" applyNumberFormat="1" applyAlignment="1">
      <alignment wrapText="1"/>
    </xf>
    <xf numFmtId="168" fontId="15" fillId="0" borderId="0" xfId="0" applyNumberFormat="1" applyFont="1" applyAlignment="1">
      <alignment wrapText="1"/>
    </xf>
    <xf numFmtId="168" fontId="12" fillId="0" borderId="15" xfId="0" applyNumberFormat="1" applyFont="1" applyBorder="1" applyAlignment="1">
      <alignment wrapText="1"/>
    </xf>
    <xf numFmtId="168" fontId="12" fillId="0" borderId="0" xfId="0" applyNumberFormat="1" applyFont="1" applyAlignment="1">
      <alignment wrapText="1"/>
    </xf>
    <xf numFmtId="0" fontId="11" fillId="0" borderId="9" xfId="0" applyFont="1" applyBorder="1" applyAlignment="1">
      <alignment wrapText="1"/>
    </xf>
    <xf numFmtId="0" fontId="53" fillId="0" borderId="0" xfId="0" applyFont="1" applyAlignment="1">
      <alignment wrapText="1"/>
    </xf>
    <xf numFmtId="2" fontId="12" fillId="0" borderId="0" xfId="0" applyNumberFormat="1" applyFont="1" applyBorder="1" applyAlignment="1">
      <alignment wrapText="1"/>
    </xf>
    <xf numFmtId="3" fontId="44" fillId="0" borderId="0" xfId="0" applyNumberFormat="1" applyFont="1"/>
    <xf numFmtId="0" fontId="0" fillId="0" borderId="30" xfId="0" applyBorder="1"/>
    <xf numFmtId="0" fontId="0" fillId="0" borderId="31" xfId="0" applyBorder="1" applyAlignment="1">
      <alignment wrapText="1"/>
    </xf>
    <xf numFmtId="0" fontId="0" fillId="0" borderId="30" xfId="0" applyBorder="1" applyAlignment="1">
      <alignment wrapText="1"/>
    </xf>
    <xf numFmtId="0" fontId="37" fillId="0" borderId="31" xfId="0" applyFont="1" applyBorder="1" applyAlignment="1"/>
    <xf numFmtId="0" fontId="38" fillId="0" borderId="30" xfId="0" applyFont="1" applyBorder="1" applyAlignment="1">
      <alignment wrapText="1"/>
    </xf>
    <xf numFmtId="0" fontId="45" fillId="0" borderId="30" xfId="0" applyFont="1" applyBorder="1" applyAlignment="1">
      <alignment wrapText="1"/>
    </xf>
    <xf numFmtId="0" fontId="46" fillId="0" borderId="30" xfId="0" applyFont="1" applyBorder="1" applyAlignment="1">
      <alignment horizontal="center"/>
    </xf>
    <xf numFmtId="165" fontId="0" fillId="0" borderId="0" xfId="0" applyNumberFormat="1"/>
    <xf numFmtId="0" fontId="12" fillId="0" borderId="0" xfId="0" applyFont="1" applyAlignment="1">
      <alignment horizontal="center"/>
    </xf>
    <xf numFmtId="3" fontId="12" fillId="0" borderId="0" xfId="0" applyNumberFormat="1" applyFont="1"/>
    <xf numFmtId="168" fontId="12" fillId="0" borderId="0" xfId="0" applyNumberFormat="1" applyFont="1"/>
    <xf numFmtId="165" fontId="12" fillId="0" borderId="0" xfId="0" applyNumberFormat="1" applyFont="1"/>
    <xf numFmtId="0" fontId="11" fillId="0" borderId="0" xfId="0" applyFont="1"/>
    <xf numFmtId="165" fontId="12" fillId="5" borderId="0" xfId="0" applyNumberFormat="1" applyFont="1" applyFill="1"/>
    <xf numFmtId="9" fontId="12" fillId="0" borderId="0" xfId="2" applyFont="1"/>
    <xf numFmtId="9" fontId="12" fillId="0" borderId="0" xfId="2" applyFont="1" applyFill="1"/>
    <xf numFmtId="0" fontId="13" fillId="0" borderId="0" xfId="0" applyFont="1" applyAlignment="1"/>
    <xf numFmtId="0" fontId="0" fillId="0" borderId="0" xfId="0" applyAlignment="1"/>
    <xf numFmtId="166" fontId="26" fillId="0" borderId="0" xfId="0" applyNumberFormat="1" applyFont="1" applyFill="1" applyBorder="1" applyAlignment="1" applyProtection="1">
      <alignment horizontal="left" wrapText="1"/>
    </xf>
    <xf numFmtId="166" fontId="26" fillId="0" borderId="0" xfId="0" applyNumberFormat="1" applyFont="1" applyFill="1" applyBorder="1" applyAlignment="1" applyProtection="1">
      <alignment wrapText="1"/>
    </xf>
    <xf numFmtId="0" fontId="0" fillId="0" borderId="0" xfId="0" applyFill="1" applyAlignment="1">
      <alignment horizontal="left" wrapText="1"/>
    </xf>
    <xf numFmtId="3" fontId="12" fillId="0" borderId="16" xfId="0" applyNumberFormat="1" applyFont="1" applyBorder="1" applyAlignment="1">
      <alignment wrapText="1"/>
    </xf>
    <xf numFmtId="168" fontId="12" fillId="0" borderId="16" xfId="0" applyNumberFormat="1" applyFont="1" applyBorder="1" applyAlignment="1">
      <alignment wrapText="1"/>
    </xf>
    <xf numFmtId="2" fontId="12" fillId="0" borderId="19" xfId="0" applyNumberFormat="1" applyFont="1" applyBorder="1" applyAlignment="1">
      <alignment wrapText="1"/>
    </xf>
    <xf numFmtId="3" fontId="16" fillId="0" borderId="19" xfId="0" applyNumberFormat="1" applyFont="1" applyFill="1" applyBorder="1" applyAlignment="1">
      <alignment wrapText="1"/>
    </xf>
    <xf numFmtId="3" fontId="16" fillId="0" borderId="13" xfId="0" applyNumberFormat="1" applyFont="1" applyFill="1" applyBorder="1" applyAlignment="1">
      <alignment wrapText="1"/>
    </xf>
    <xf numFmtId="0" fontId="11" fillId="5" borderId="0" xfId="0" applyFont="1" applyFill="1" applyBorder="1" applyAlignment="1">
      <alignment wrapText="1"/>
    </xf>
    <xf numFmtId="0" fontId="11" fillId="0" borderId="0" xfId="0" applyFont="1" applyBorder="1" applyAlignment="1">
      <alignment wrapText="1"/>
    </xf>
    <xf numFmtId="0" fontId="0" fillId="0" borderId="0" xfId="0" applyAlignment="1">
      <alignment vertical="top"/>
    </xf>
    <xf numFmtId="0" fontId="2" fillId="0" borderId="0" xfId="0" applyFont="1" applyAlignment="1">
      <alignment horizontal="left" vertical="top"/>
    </xf>
    <xf numFmtId="0" fontId="14" fillId="0" borderId="0" xfId="0" applyFont="1" applyAlignment="1">
      <alignment vertical="top"/>
    </xf>
    <xf numFmtId="0" fontId="14" fillId="0" borderId="0" xfId="0" applyFont="1" applyAlignment="1"/>
    <xf numFmtId="0" fontId="5" fillId="0" borderId="14" xfId="0" applyFont="1" applyBorder="1" applyAlignment="1">
      <alignment wrapText="1"/>
    </xf>
    <xf numFmtId="3" fontId="5" fillId="0" borderId="14" xfId="0" applyNumberFormat="1" applyFont="1" applyBorder="1" applyAlignment="1">
      <alignment wrapText="1"/>
    </xf>
    <xf numFmtId="0" fontId="48" fillId="2" borderId="23" xfId="0" applyFont="1" applyFill="1" applyBorder="1" applyAlignment="1">
      <alignment horizontal="center" wrapText="1"/>
    </xf>
    <xf numFmtId="0" fontId="48" fillId="0" borderId="0" xfId="0" applyFont="1" applyAlignment="1">
      <alignment horizontal="center" wrapText="1"/>
    </xf>
    <xf numFmtId="0" fontId="54" fillId="0" borderId="0" xfId="0" applyFont="1" applyAlignment="1">
      <alignment wrapText="1"/>
    </xf>
    <xf numFmtId="0" fontId="23" fillId="0" borderId="0" xfId="0" applyFont="1" applyAlignment="1">
      <alignment horizontal="center" vertical="top"/>
    </xf>
    <xf numFmtId="0" fontId="11" fillId="0" borderId="14" xfId="0" applyFont="1" applyBorder="1" applyAlignment="1">
      <alignment horizontal="left" vertical="top" wrapText="1"/>
    </xf>
    <xf numFmtId="0" fontId="0" fillId="0" borderId="14" xfId="0" applyBorder="1" applyAlignment="1">
      <alignment horizontal="left" vertical="top" wrapText="1"/>
    </xf>
    <xf numFmtId="0" fontId="11" fillId="0" borderId="14" xfId="0" applyFont="1" applyBorder="1" applyAlignment="1">
      <alignment horizontal="left"/>
    </xf>
    <xf numFmtId="0" fontId="0" fillId="0" borderId="14" xfId="0" applyBorder="1" applyAlignment="1">
      <alignment horizontal="left"/>
    </xf>
    <xf numFmtId="0" fontId="0" fillId="0" borderId="0" xfId="0" applyAlignment="1">
      <alignment horizontal="left"/>
    </xf>
    <xf numFmtId="10" fontId="12" fillId="0" borderId="15" xfId="0" applyNumberFormat="1" applyFont="1" applyBorder="1" applyAlignment="1">
      <alignment wrapText="1"/>
    </xf>
    <xf numFmtId="10" fontId="12" fillId="0" borderId="16" xfId="0" applyNumberFormat="1" applyFont="1" applyBorder="1" applyAlignment="1">
      <alignment wrapText="1"/>
    </xf>
    <xf numFmtId="10" fontId="12" fillId="0" borderId="0" xfId="0" applyNumberFormat="1" applyFont="1" applyBorder="1" applyAlignment="1">
      <alignment wrapText="1"/>
    </xf>
    <xf numFmtId="10" fontId="12" fillId="0" borderId="19" xfId="0" applyNumberFormat="1" applyFont="1" applyBorder="1" applyAlignment="1">
      <alignment wrapText="1"/>
    </xf>
    <xf numFmtId="3" fontId="42" fillId="0" borderId="15" xfId="0" applyNumberFormat="1" applyFont="1" applyBorder="1" applyAlignment="1">
      <alignment wrapText="1"/>
    </xf>
    <xf numFmtId="3" fontId="55" fillId="0" borderId="0" xfId="0" applyNumberFormat="1" applyFont="1"/>
    <xf numFmtId="0" fontId="55" fillId="0" borderId="0" xfId="0" applyFont="1"/>
    <xf numFmtId="3" fontId="10" fillId="5" borderId="0" xfId="0" applyNumberFormat="1" applyFont="1" applyFill="1" applyAlignment="1">
      <alignment wrapText="1"/>
    </xf>
    <xf numFmtId="3" fontId="11" fillId="5" borderId="0" xfId="0" applyNumberFormat="1" applyFont="1" applyFill="1" applyAlignment="1">
      <alignment wrapText="1"/>
    </xf>
    <xf numFmtId="3" fontId="11" fillId="5" borderId="0" xfId="0" applyNumberFormat="1" applyFont="1" applyFill="1" applyBorder="1" applyAlignment="1">
      <alignment wrapText="1"/>
    </xf>
    <xf numFmtId="10" fontId="55" fillId="0" borderId="0" xfId="0" applyNumberFormat="1" applyFont="1"/>
    <xf numFmtId="0" fontId="11" fillId="0" borderId="11" xfId="0" applyFont="1" applyBorder="1" applyAlignment="1">
      <alignment wrapText="1"/>
    </xf>
    <xf numFmtId="0" fontId="55" fillId="0" borderId="0" xfId="0" applyNumberFormat="1" applyFont="1"/>
    <xf numFmtId="0" fontId="53" fillId="0" borderId="0" xfId="0" applyFont="1"/>
    <xf numFmtId="3" fontId="50" fillId="0" borderId="9" xfId="0" applyNumberFormat="1" applyFont="1" applyBorder="1" applyAlignment="1">
      <alignment wrapText="1"/>
    </xf>
    <xf numFmtId="3" fontId="50" fillId="0" borderId="15" xfId="0" applyNumberFormat="1" applyFont="1" applyBorder="1" applyAlignment="1">
      <alignment wrapText="1"/>
    </xf>
    <xf numFmtId="3" fontId="50" fillId="0" borderId="16" xfId="0" applyNumberFormat="1" applyFont="1" applyBorder="1" applyAlignment="1">
      <alignment wrapText="1"/>
    </xf>
    <xf numFmtId="1" fontId="12" fillId="0" borderId="0" xfId="0" applyNumberFormat="1" applyFont="1" applyBorder="1" applyAlignment="1">
      <alignment wrapText="1"/>
    </xf>
    <xf numFmtId="1" fontId="12" fillId="0" borderId="19" xfId="0" applyNumberFormat="1" applyFont="1" applyBorder="1" applyAlignment="1">
      <alignment wrapText="1"/>
    </xf>
    <xf numFmtId="0" fontId="15" fillId="0" borderId="12" xfId="0" applyFont="1" applyBorder="1" applyAlignment="1">
      <alignment wrapText="1"/>
    </xf>
    <xf numFmtId="0" fontId="15" fillId="0" borderId="0" xfId="0" applyFont="1" applyBorder="1" applyAlignment="1">
      <alignment wrapText="1"/>
    </xf>
    <xf numFmtId="169" fontId="0" fillId="0" borderId="0" xfId="1" applyNumberFormat="1" applyFont="1" applyAlignment="1">
      <alignment wrapText="1"/>
    </xf>
    <xf numFmtId="3" fontId="56" fillId="0" borderId="32" xfId="0" applyNumberFormat="1" applyFont="1" applyFill="1" applyBorder="1" applyAlignment="1">
      <alignment wrapText="1"/>
    </xf>
    <xf numFmtId="3" fontId="56" fillId="0" borderId="33" xfId="0" applyNumberFormat="1" applyFont="1" applyFill="1" applyBorder="1" applyAlignment="1">
      <alignment wrapText="1"/>
    </xf>
    <xf numFmtId="169" fontId="53" fillId="0" borderId="0" xfId="1" applyNumberFormat="1" applyFont="1" applyAlignment="1">
      <alignment wrapText="1"/>
    </xf>
    <xf numFmtId="3" fontId="11" fillId="0" borderId="34" xfId="0" applyNumberFormat="1" applyFont="1" applyBorder="1" applyAlignment="1">
      <alignment wrapText="1"/>
    </xf>
    <xf numFmtId="3" fontId="11" fillId="0" borderId="32" xfId="0" applyNumberFormat="1" applyFont="1" applyBorder="1" applyAlignment="1">
      <alignment wrapText="1"/>
    </xf>
    <xf numFmtId="169" fontId="0" fillId="0" borderId="32" xfId="1" applyNumberFormat="1" applyFont="1" applyBorder="1" applyAlignment="1">
      <alignment wrapText="1"/>
    </xf>
    <xf numFmtId="3" fontId="53" fillId="0" borderId="34" xfId="0" applyNumberFormat="1" applyFont="1" applyBorder="1" applyAlignment="1">
      <alignment wrapText="1"/>
    </xf>
    <xf numFmtId="3" fontId="53" fillId="0" borderId="32" xfId="0" applyNumberFormat="1" applyFont="1" applyBorder="1" applyAlignment="1">
      <alignment wrapText="1"/>
    </xf>
    <xf numFmtId="3" fontId="53" fillId="0" borderId="33" xfId="0" applyNumberFormat="1" applyFont="1" applyBorder="1" applyAlignment="1">
      <alignment wrapText="1"/>
    </xf>
    <xf numFmtId="0" fontId="0" fillId="5" borderId="0" xfId="0" applyFill="1" applyAlignment="1">
      <alignment horizontal="center" wrapText="1"/>
    </xf>
    <xf numFmtId="0" fontId="11" fillId="5" borderId="12" xfId="0" applyFont="1" applyFill="1" applyBorder="1" applyAlignment="1">
      <alignment horizontal="center" wrapText="1"/>
    </xf>
    <xf numFmtId="3" fontId="12" fillId="5" borderId="0" xfId="0" applyNumberFormat="1" applyFont="1" applyFill="1" applyAlignment="1">
      <alignment wrapText="1"/>
    </xf>
    <xf numFmtId="3" fontId="10" fillId="5" borderId="0" xfId="0" applyNumberFormat="1" applyFont="1" applyFill="1" applyBorder="1" applyAlignment="1">
      <alignment wrapText="1"/>
    </xf>
    <xf numFmtId="0" fontId="0" fillId="5" borderId="0" xfId="0" applyFill="1" applyAlignment="1">
      <alignment wrapText="1"/>
    </xf>
    <xf numFmtId="3" fontId="51" fillId="0" borderId="0" xfId="0" applyNumberFormat="1" applyFont="1" applyFill="1" applyAlignment="1">
      <alignment horizontal="left" vertical="center"/>
    </xf>
    <xf numFmtId="0" fontId="50" fillId="0" borderId="0" xfId="0" applyFont="1" applyBorder="1" applyAlignment="1">
      <alignment wrapText="1"/>
    </xf>
    <xf numFmtId="3" fontId="16" fillId="6" borderId="19" xfId="0" applyNumberFormat="1" applyFont="1" applyFill="1" applyBorder="1" applyAlignment="1">
      <alignment wrapText="1"/>
    </xf>
    <xf numFmtId="3" fontId="16" fillId="6" borderId="13" xfId="0" applyNumberFormat="1" applyFont="1" applyFill="1" applyBorder="1" applyAlignment="1">
      <alignment wrapText="1"/>
    </xf>
    <xf numFmtId="3" fontId="49" fillId="6" borderId="0" xfId="0" applyNumberFormat="1" applyFont="1" applyFill="1" applyBorder="1" applyAlignment="1">
      <alignment wrapText="1"/>
    </xf>
    <xf numFmtId="0" fontId="17" fillId="0" borderId="0" xfId="0" applyFont="1" applyAlignment="1">
      <alignment wrapText="1"/>
    </xf>
    <xf numFmtId="0" fontId="0" fillId="0" borderId="0" xfId="0" applyAlignment="1">
      <alignment wrapText="1"/>
    </xf>
    <xf numFmtId="0" fontId="18" fillId="0" borderId="15" xfId="0" applyFont="1" applyBorder="1" applyAlignment="1">
      <alignment wrapText="1"/>
    </xf>
    <xf numFmtId="0" fontId="0" fillId="0" borderId="15" xfId="0" applyBorder="1" applyAlignment="1">
      <alignment wrapText="1"/>
    </xf>
    <xf numFmtId="0" fontId="0" fillId="0" borderId="0" xfId="0" applyBorder="1" applyAlignment="1">
      <alignment wrapText="1"/>
    </xf>
    <xf numFmtId="0" fontId="0" fillId="0" borderId="12" xfId="0" applyBorder="1" applyAlignment="1">
      <alignment wrapText="1"/>
    </xf>
    <xf numFmtId="0" fontId="24" fillId="0" borderId="22" xfId="0" applyFont="1" applyBorder="1" applyAlignment="1">
      <alignment horizontal="center"/>
    </xf>
    <xf numFmtId="0" fontId="46" fillId="0" borderId="30" xfId="0" applyFont="1" applyBorder="1" applyAlignment="1">
      <alignment horizontal="center"/>
    </xf>
  </cellXfs>
  <cellStyles count="7">
    <cellStyle name="Comma" xfId="1" builtinId="3"/>
    <cellStyle name="Followed Hyperlink" xfId="4" builtinId="9" hidden="1"/>
    <cellStyle name="Followed Hyperlink" xfId="6" builtinId="9" hidden="1"/>
    <cellStyle name="Hyperlink" xfId="3" builtinId="8" hidden="1"/>
    <cellStyle name="Hyperlink" xfId="5" builtinId="8" hidden="1"/>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ahoma"/>
                <a:ea typeface="Tahoma"/>
                <a:cs typeface="Tahoma"/>
              </a:defRPr>
            </a:pPr>
            <a:r>
              <a:rPr lang="en-US"/>
              <a:t>Wild Chum HARVEST</a:t>
            </a:r>
          </a:p>
        </c:rich>
      </c:tx>
      <c:layout>
        <c:manualLayout>
          <c:xMode val="edge"/>
          <c:yMode val="edge"/>
          <c:x val="0.423640167364017"/>
          <c:y val="0.0292968866696541"/>
        </c:manualLayout>
      </c:layout>
      <c:overlay val="0"/>
      <c:spPr>
        <a:noFill/>
        <a:ln w="25400">
          <a:noFill/>
        </a:ln>
      </c:spPr>
    </c:title>
    <c:autoTitleDeleted val="0"/>
    <c:plotArea>
      <c:layout>
        <c:manualLayout>
          <c:layoutTarget val="inner"/>
          <c:xMode val="edge"/>
          <c:yMode val="edge"/>
          <c:x val="0.15278940027894"/>
          <c:y val="0.126953125"/>
          <c:w val="0.806485355648536"/>
          <c:h val="0.638671875"/>
        </c:manualLayout>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WILD_CHUM_DATA!$A$10:$A$53</c:f>
              <c:numCache>
                <c:formatCode>General</c:formatCode>
                <c:ptCount val="44"/>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pt idx="42">
                  <c:v>2012.0</c:v>
                </c:pt>
                <c:pt idx="43">
                  <c:v>2013.0</c:v>
                </c:pt>
              </c:numCache>
            </c:numRef>
          </c:xVal>
          <c:yVal>
            <c:numRef>
              <c:f>WILD_CHUM_DATA!$O$10:$O$53</c:f>
            </c:numRef>
          </c:yVal>
          <c:smooth val="1"/>
        </c:ser>
        <c:dLbls>
          <c:showLegendKey val="0"/>
          <c:showVal val="0"/>
          <c:showCatName val="0"/>
          <c:showSerName val="0"/>
          <c:showPercent val="0"/>
          <c:showBubbleSize val="0"/>
        </c:dLbls>
        <c:axId val="-2136094952"/>
        <c:axId val="2116660648"/>
      </c:scatterChart>
      <c:valAx>
        <c:axId val="-2136094952"/>
        <c:scaling>
          <c:orientation val="minMax"/>
        </c:scaling>
        <c:delete val="0"/>
        <c:axPos val="b"/>
        <c:title>
          <c:tx>
            <c:rich>
              <a:bodyPr/>
              <a:lstStyle/>
              <a:p>
                <a:pPr>
                  <a:defRPr sz="1925" b="1" i="0" u="none" strike="noStrike" baseline="0">
                    <a:solidFill>
                      <a:srgbClr val="000000"/>
                    </a:solidFill>
                    <a:latin typeface="Tahoma"/>
                    <a:ea typeface="Tahoma"/>
                    <a:cs typeface="Tahoma"/>
                  </a:defRPr>
                </a:pPr>
                <a:r>
                  <a:rPr lang="en-US"/>
                  <a:t>YEAR</a:t>
                </a:r>
              </a:p>
            </c:rich>
          </c:tx>
          <c:layout>
            <c:manualLayout>
              <c:xMode val="edge"/>
              <c:yMode val="edge"/>
              <c:x val="0.535564853556485"/>
              <c:y val="0.8925781533405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ahoma"/>
                <a:ea typeface="Tahoma"/>
                <a:cs typeface="Tahoma"/>
              </a:defRPr>
            </a:pPr>
            <a:endParaRPr lang="en-US"/>
          </a:p>
        </c:txPr>
        <c:crossAx val="2116660648"/>
        <c:crosses val="autoZero"/>
        <c:crossBetween val="midCat"/>
      </c:valAx>
      <c:valAx>
        <c:axId val="2116660648"/>
        <c:scaling>
          <c:orientation val="minMax"/>
        </c:scaling>
        <c:delete val="0"/>
        <c:axPos val="l"/>
        <c:title>
          <c:tx>
            <c:rich>
              <a:bodyPr/>
              <a:lstStyle/>
              <a:p>
                <a:pPr>
                  <a:defRPr sz="1925" b="1" i="0" u="none" strike="noStrike" baseline="0">
                    <a:solidFill>
                      <a:srgbClr val="000000"/>
                    </a:solidFill>
                    <a:latin typeface="Tahoma"/>
                    <a:ea typeface="Tahoma"/>
                    <a:cs typeface="Tahoma"/>
                  </a:defRPr>
                </a:pPr>
                <a:r>
                  <a:rPr lang="en-US"/>
                  <a:t># Harvested</a:t>
                </a:r>
              </a:p>
            </c:rich>
          </c:tx>
          <c:layout>
            <c:manualLayout>
              <c:xMode val="edge"/>
              <c:yMode val="edge"/>
              <c:x val="0.00523012552301255"/>
              <c:y val="0.27929667328169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2136094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Tahoma"/>
          <a:ea typeface="Tahoma"/>
          <a:cs typeface="Tahoma"/>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75" b="1" i="0" u="none" strike="noStrike" baseline="0">
                <a:solidFill>
                  <a:srgbClr val="000000"/>
                </a:solidFill>
                <a:latin typeface="Tahoma"/>
                <a:ea typeface="Tahoma"/>
                <a:cs typeface="Tahoma"/>
              </a:defRPr>
            </a:pPr>
            <a:r>
              <a:rPr lang="en-US"/>
              <a:t>Escapement by Year</a:t>
            </a:r>
          </a:p>
        </c:rich>
      </c:tx>
      <c:layout>
        <c:manualLayout>
          <c:xMode val="edge"/>
          <c:yMode val="edge"/>
          <c:x val="0.354298024067746"/>
          <c:y val="0.00814347584882263"/>
        </c:manualLayout>
      </c:layout>
      <c:overlay val="0"/>
      <c:spPr>
        <a:noFill/>
        <a:ln w="25400">
          <a:noFill/>
        </a:ln>
      </c:spPr>
    </c:title>
    <c:autoTitleDeleted val="0"/>
    <c:plotArea>
      <c:layout>
        <c:manualLayout>
          <c:layoutTarget val="inner"/>
          <c:xMode val="edge"/>
          <c:yMode val="edge"/>
          <c:x val="0.178197247401205"/>
          <c:y val="0.11400651465798"/>
          <c:w val="0.773585697541701"/>
          <c:h val="0.706840390879479"/>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WILD_CHUM_DATA!$A$10:$A$53</c:f>
              <c:numCache>
                <c:formatCode>General</c:formatCode>
                <c:ptCount val="44"/>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pt idx="42">
                  <c:v>2012.0</c:v>
                </c:pt>
                <c:pt idx="43">
                  <c:v>2013.0</c:v>
                </c:pt>
              </c:numCache>
            </c:numRef>
          </c:xVal>
          <c:yVal>
            <c:numRef>
              <c:f>WILD_CHUM_DATA!$P$10:$P$53</c:f>
              <c:numCache>
                <c:formatCode>#,##0</c:formatCode>
                <c:ptCount val="44"/>
                <c:pt idx="0">
                  <c:v>61550.0</c:v>
                </c:pt>
                <c:pt idx="1">
                  <c:v>109770.0</c:v>
                </c:pt>
                <c:pt idx="2">
                  <c:v>269190.0</c:v>
                </c:pt>
                <c:pt idx="3">
                  <c:v>491270.0</c:v>
                </c:pt>
                <c:pt idx="4">
                  <c:v>166900.0</c:v>
                </c:pt>
                <c:pt idx="5">
                  <c:v>25025.71428571429</c:v>
                </c:pt>
                <c:pt idx="6">
                  <c:v>90444.92063492064</c:v>
                </c:pt>
                <c:pt idx="7">
                  <c:v>122237.1825396825</c:v>
                </c:pt>
                <c:pt idx="8">
                  <c:v>178950.9444444444</c:v>
                </c:pt>
                <c:pt idx="9">
                  <c:v>61014.20634920635</c:v>
                </c:pt>
                <c:pt idx="10">
                  <c:v>76309.40476190474</c:v>
                </c:pt>
                <c:pt idx="11">
                  <c:v>132340.9523809524</c:v>
                </c:pt>
                <c:pt idx="12">
                  <c:v>242634.126984127</c:v>
                </c:pt>
                <c:pt idx="13">
                  <c:v>323864.7222222222</c:v>
                </c:pt>
                <c:pt idx="14">
                  <c:v>191112.3015873016</c:v>
                </c:pt>
                <c:pt idx="15">
                  <c:v>93787.46031746033</c:v>
                </c:pt>
                <c:pt idx="16" formatCode="_(* #,##0_);_(* \(#,##0\);_(* &quot;-&quot;??_);_(@_)">
                  <c:v>266264.6825396825</c:v>
                </c:pt>
                <c:pt idx="17">
                  <c:v>331878.6507936508</c:v>
                </c:pt>
                <c:pt idx="18">
                  <c:v>626565.873015873</c:v>
                </c:pt>
                <c:pt idx="19">
                  <c:v>278635.9047619048</c:v>
                </c:pt>
                <c:pt idx="20">
                  <c:v>316262.8333333333</c:v>
                </c:pt>
                <c:pt idx="21">
                  <c:v>108499.0238095238</c:v>
                </c:pt>
                <c:pt idx="22">
                  <c:v>91411.01587301587</c:v>
                </c:pt>
                <c:pt idx="23">
                  <c:v>136842.007936508</c:v>
                </c:pt>
                <c:pt idx="24">
                  <c:v>114512.3253968254</c:v>
                </c:pt>
                <c:pt idx="25">
                  <c:v>185526.6507936508</c:v>
                </c:pt>
                <c:pt idx="26">
                  <c:v>368936.7142857143</c:v>
                </c:pt>
                <c:pt idx="27">
                  <c:v>212128.3492063492</c:v>
                </c:pt>
                <c:pt idx="28">
                  <c:v>183998.9761904762</c:v>
                </c:pt>
                <c:pt idx="29">
                  <c:v>252388.3015873016</c:v>
                </c:pt>
                <c:pt idx="30">
                  <c:v>397492.1666666666</c:v>
                </c:pt>
                <c:pt idx="31">
                  <c:v>446385.2619047619</c:v>
                </c:pt>
                <c:pt idx="32">
                  <c:v>292597.0476190476</c:v>
                </c:pt>
                <c:pt idx="33">
                  <c:v>546436.2777777779</c:v>
                </c:pt>
                <c:pt idx="34">
                  <c:v>289742.1031746031</c:v>
                </c:pt>
                <c:pt idx="35">
                  <c:v>245983.0158730159</c:v>
                </c:pt>
                <c:pt idx="36">
                  <c:v>304695.4285714286</c:v>
                </c:pt>
                <c:pt idx="37">
                  <c:v>323006.5634920635</c:v>
                </c:pt>
                <c:pt idx="38">
                  <c:v>245644.0</c:v>
                </c:pt>
                <c:pt idx="39">
                  <c:v>400049.365079365</c:v>
                </c:pt>
                <c:pt idx="40">
                  <c:v>498040.9920634921</c:v>
                </c:pt>
                <c:pt idx="41">
                  <c:v>455787.9682539683</c:v>
                </c:pt>
                <c:pt idx="42">
                  <c:v>179307.6984126984</c:v>
                </c:pt>
                <c:pt idx="43">
                  <c:v>247322.8571428572</c:v>
                </c:pt>
              </c:numCache>
            </c:numRef>
          </c:yVal>
          <c:smooth val="1"/>
        </c:ser>
        <c:dLbls>
          <c:showLegendKey val="0"/>
          <c:showVal val="0"/>
          <c:showCatName val="0"/>
          <c:showSerName val="0"/>
          <c:showPercent val="0"/>
          <c:showBubbleSize val="0"/>
        </c:dLbls>
        <c:axId val="2073258936"/>
        <c:axId val="2073329112"/>
      </c:scatterChart>
      <c:valAx>
        <c:axId val="2073258936"/>
        <c:scaling>
          <c:orientation val="minMax"/>
        </c:scaling>
        <c:delete val="0"/>
        <c:axPos val="b"/>
        <c:title>
          <c:tx>
            <c:rich>
              <a:bodyPr/>
              <a:lstStyle/>
              <a:p>
                <a:pPr>
                  <a:defRPr sz="1675" b="1" i="0" u="none" strike="noStrike" baseline="0">
                    <a:solidFill>
                      <a:srgbClr val="000000"/>
                    </a:solidFill>
                    <a:latin typeface="Tahoma"/>
                    <a:ea typeface="Tahoma"/>
                    <a:cs typeface="Tahoma"/>
                  </a:defRPr>
                </a:pPr>
                <a:r>
                  <a:rPr lang="en-US"/>
                  <a:t>YEAR</a:t>
                </a:r>
              </a:p>
            </c:rich>
          </c:tx>
          <c:layout>
            <c:manualLayout>
              <c:xMode val="edge"/>
              <c:yMode val="edge"/>
              <c:x val="0.529350655067488"/>
              <c:y val="0.9136810207782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ahoma"/>
                <a:ea typeface="Tahoma"/>
                <a:cs typeface="Tahoma"/>
              </a:defRPr>
            </a:pPr>
            <a:endParaRPr lang="en-US"/>
          </a:p>
        </c:txPr>
        <c:crossAx val="2073329112"/>
        <c:crosses val="autoZero"/>
        <c:crossBetween val="midCat"/>
      </c:valAx>
      <c:valAx>
        <c:axId val="2073329112"/>
        <c:scaling>
          <c:orientation val="minMax"/>
        </c:scaling>
        <c:delete val="0"/>
        <c:axPos val="l"/>
        <c:title>
          <c:tx>
            <c:rich>
              <a:bodyPr/>
              <a:lstStyle/>
              <a:p>
                <a:pPr>
                  <a:defRPr sz="1675" b="1" i="0" u="none" strike="noStrike" baseline="0">
                    <a:solidFill>
                      <a:srgbClr val="000000"/>
                    </a:solidFill>
                    <a:latin typeface="Tahoma"/>
                    <a:ea typeface="Tahoma"/>
                    <a:cs typeface="Tahoma"/>
                  </a:defRPr>
                </a:pPr>
                <a:r>
                  <a:rPr lang="en-US"/>
                  <a:t>Adjusted Aerial Stream Escap.</a:t>
                </a:r>
              </a:p>
            </c:rich>
          </c:tx>
          <c:layout>
            <c:manualLayout>
              <c:xMode val="edge"/>
              <c:yMode val="edge"/>
              <c:x val="0.00628930817610063"/>
              <c:y val="0.184039197586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2073258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Tahoma"/>
          <a:ea typeface="Tahoma"/>
          <a:cs typeface="Tahoma"/>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ahoma"/>
                <a:ea typeface="Tahoma"/>
                <a:cs typeface="Tahoma"/>
              </a:defRPr>
            </a:pPr>
            <a:r>
              <a:rPr lang="en-US"/>
              <a:t>PWS Chum Salmon: Year T0 vs. Year T1 Total Run Size</a:t>
            </a:r>
          </a:p>
        </c:rich>
      </c:tx>
      <c:layout>
        <c:manualLayout>
          <c:xMode val="edge"/>
          <c:yMode val="edge"/>
          <c:x val="0.170795491567738"/>
          <c:y val="0.0186918565295811"/>
        </c:manualLayout>
      </c:layout>
      <c:overlay val="0"/>
      <c:spPr>
        <a:noFill/>
        <a:ln w="25400">
          <a:noFill/>
        </a:ln>
      </c:spPr>
    </c:title>
    <c:autoTitleDeleted val="0"/>
    <c:plotArea>
      <c:layout>
        <c:manualLayout>
          <c:layoutTarget val="inner"/>
          <c:xMode val="edge"/>
          <c:yMode val="edge"/>
          <c:x val="0.182055715658021"/>
          <c:y val="0.153863374548044"/>
          <c:w val="0.753641637734765"/>
          <c:h val="0.6832604784535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dLbls>
            <c:dLbl>
              <c:idx val="0"/>
              <c:layout/>
              <c:tx>
                <c:strRef>
                  <c:f>Forecast_Evaluation_Total_Run!$A$5</c:f>
                  <c:strCache>
                    <c:ptCount val="1"/>
                    <c:pt idx="0">
                      <c:v>1971</c:v>
                    </c:pt>
                  </c:strCache>
                </c:strRef>
              </c:tx>
              <c:dLblPos val="r"/>
              <c:showLegendKey val="0"/>
              <c:showVal val="0"/>
              <c:showCatName val="0"/>
              <c:showSerName val="0"/>
              <c:showPercent val="0"/>
              <c:showBubbleSize val="0"/>
            </c:dLbl>
            <c:dLbl>
              <c:idx val="1"/>
              <c:layout/>
              <c:tx>
                <c:strRef>
                  <c:f>Forecast_Evaluation_Total_Run!$A$6</c:f>
                  <c:strCache>
                    <c:ptCount val="1"/>
                    <c:pt idx="0">
                      <c:v>1972</c:v>
                    </c:pt>
                  </c:strCache>
                </c:strRef>
              </c:tx>
              <c:dLblPos val="r"/>
              <c:showLegendKey val="0"/>
              <c:showVal val="0"/>
              <c:showCatName val="0"/>
              <c:showSerName val="0"/>
              <c:showPercent val="0"/>
              <c:showBubbleSize val="0"/>
            </c:dLbl>
            <c:dLbl>
              <c:idx val="2"/>
              <c:layout/>
              <c:tx>
                <c:strRef>
                  <c:f>Forecast_Evaluation_Total_Run!$A$7</c:f>
                  <c:strCache>
                    <c:ptCount val="1"/>
                    <c:pt idx="0">
                      <c:v>1973</c:v>
                    </c:pt>
                  </c:strCache>
                </c:strRef>
              </c:tx>
              <c:dLblPos val="r"/>
              <c:showLegendKey val="0"/>
              <c:showVal val="0"/>
              <c:showCatName val="0"/>
              <c:showSerName val="0"/>
              <c:showPercent val="0"/>
              <c:showBubbleSize val="0"/>
            </c:dLbl>
            <c:dLbl>
              <c:idx val="3"/>
              <c:layout/>
              <c:tx>
                <c:strRef>
                  <c:f>Forecast_Evaluation_Total_Run!$A$8</c:f>
                  <c:strCache>
                    <c:ptCount val="1"/>
                    <c:pt idx="0">
                      <c:v>1974</c:v>
                    </c:pt>
                  </c:strCache>
                </c:strRef>
              </c:tx>
              <c:dLblPos val="r"/>
              <c:showLegendKey val="0"/>
              <c:showVal val="0"/>
              <c:showCatName val="0"/>
              <c:showSerName val="0"/>
              <c:showPercent val="0"/>
              <c:showBubbleSize val="0"/>
            </c:dLbl>
            <c:dLbl>
              <c:idx val="4"/>
              <c:layout/>
              <c:tx>
                <c:strRef>
                  <c:f>Forecast_Evaluation_Total_Run!$A$9</c:f>
                  <c:strCache>
                    <c:ptCount val="1"/>
                    <c:pt idx="0">
                      <c:v>1975</c:v>
                    </c:pt>
                  </c:strCache>
                </c:strRef>
              </c:tx>
              <c:dLblPos val="r"/>
              <c:showLegendKey val="0"/>
              <c:showVal val="0"/>
              <c:showCatName val="0"/>
              <c:showSerName val="0"/>
              <c:showPercent val="0"/>
              <c:showBubbleSize val="0"/>
            </c:dLbl>
            <c:dLbl>
              <c:idx val="5"/>
              <c:layout/>
              <c:tx>
                <c:strRef>
                  <c:f>Forecast_Evaluation_Total_Run!$A$10</c:f>
                  <c:strCache>
                    <c:ptCount val="1"/>
                    <c:pt idx="0">
                      <c:v>1976</c:v>
                    </c:pt>
                  </c:strCache>
                </c:strRef>
              </c:tx>
              <c:dLblPos val="r"/>
              <c:showLegendKey val="0"/>
              <c:showVal val="0"/>
              <c:showCatName val="0"/>
              <c:showSerName val="0"/>
              <c:showPercent val="0"/>
              <c:showBubbleSize val="0"/>
            </c:dLbl>
            <c:dLbl>
              <c:idx val="6"/>
              <c:layout/>
              <c:tx>
                <c:strRef>
                  <c:f>Forecast_Evaluation_Total_Run!$A$11</c:f>
                  <c:strCache>
                    <c:ptCount val="1"/>
                    <c:pt idx="0">
                      <c:v>1977</c:v>
                    </c:pt>
                  </c:strCache>
                </c:strRef>
              </c:tx>
              <c:dLblPos val="r"/>
              <c:showLegendKey val="0"/>
              <c:showVal val="0"/>
              <c:showCatName val="0"/>
              <c:showSerName val="0"/>
              <c:showPercent val="0"/>
              <c:showBubbleSize val="0"/>
            </c:dLbl>
            <c:dLbl>
              <c:idx val="7"/>
              <c:layout/>
              <c:tx>
                <c:strRef>
                  <c:f>Forecast_Evaluation_Total_Run!$A$12</c:f>
                  <c:strCache>
                    <c:ptCount val="1"/>
                    <c:pt idx="0">
                      <c:v>1978</c:v>
                    </c:pt>
                  </c:strCache>
                </c:strRef>
              </c:tx>
              <c:dLblPos val="r"/>
              <c:showLegendKey val="0"/>
              <c:showVal val="0"/>
              <c:showCatName val="0"/>
              <c:showSerName val="0"/>
              <c:showPercent val="0"/>
              <c:showBubbleSize val="0"/>
            </c:dLbl>
            <c:dLbl>
              <c:idx val="8"/>
              <c:layout/>
              <c:tx>
                <c:strRef>
                  <c:f>Forecast_Evaluation_Total_Run!$A$13</c:f>
                  <c:strCache>
                    <c:ptCount val="1"/>
                    <c:pt idx="0">
                      <c:v>1979</c:v>
                    </c:pt>
                  </c:strCache>
                </c:strRef>
              </c:tx>
              <c:dLblPos val="r"/>
              <c:showLegendKey val="0"/>
              <c:showVal val="0"/>
              <c:showCatName val="0"/>
              <c:showSerName val="0"/>
              <c:showPercent val="0"/>
              <c:showBubbleSize val="0"/>
            </c:dLbl>
            <c:dLbl>
              <c:idx val="9"/>
              <c:layout/>
              <c:tx>
                <c:strRef>
                  <c:f>Forecast_Evaluation_Total_Run!$A$14</c:f>
                  <c:strCache>
                    <c:ptCount val="1"/>
                    <c:pt idx="0">
                      <c:v>1980</c:v>
                    </c:pt>
                  </c:strCache>
                </c:strRef>
              </c:tx>
              <c:dLblPos val="r"/>
              <c:showLegendKey val="0"/>
              <c:showVal val="0"/>
              <c:showCatName val="0"/>
              <c:showSerName val="0"/>
              <c:showPercent val="0"/>
              <c:showBubbleSize val="0"/>
            </c:dLbl>
            <c:dLbl>
              <c:idx val="10"/>
              <c:layout/>
              <c:tx>
                <c:strRef>
                  <c:f>Forecast_Evaluation_Total_Run!$A$15</c:f>
                  <c:strCache>
                    <c:ptCount val="1"/>
                    <c:pt idx="0">
                      <c:v>1981</c:v>
                    </c:pt>
                  </c:strCache>
                </c:strRef>
              </c:tx>
              <c:dLblPos val="r"/>
              <c:showLegendKey val="0"/>
              <c:showVal val="0"/>
              <c:showCatName val="0"/>
              <c:showSerName val="0"/>
              <c:showPercent val="0"/>
              <c:showBubbleSize val="0"/>
            </c:dLbl>
            <c:dLbl>
              <c:idx val="11"/>
              <c:layout/>
              <c:tx>
                <c:strRef>
                  <c:f>Forecast_Evaluation_Total_Run!$A$16</c:f>
                  <c:strCache>
                    <c:ptCount val="1"/>
                    <c:pt idx="0">
                      <c:v>1982</c:v>
                    </c:pt>
                  </c:strCache>
                </c:strRef>
              </c:tx>
              <c:dLblPos val="r"/>
              <c:showLegendKey val="0"/>
              <c:showVal val="0"/>
              <c:showCatName val="0"/>
              <c:showSerName val="0"/>
              <c:showPercent val="0"/>
              <c:showBubbleSize val="0"/>
            </c:dLbl>
            <c:dLbl>
              <c:idx val="12"/>
              <c:layout/>
              <c:tx>
                <c:strRef>
                  <c:f>Forecast_Evaluation_Total_Run!$A$17</c:f>
                  <c:strCache>
                    <c:ptCount val="1"/>
                    <c:pt idx="0">
                      <c:v>1983</c:v>
                    </c:pt>
                  </c:strCache>
                </c:strRef>
              </c:tx>
              <c:dLblPos val="r"/>
              <c:showLegendKey val="0"/>
              <c:showVal val="0"/>
              <c:showCatName val="0"/>
              <c:showSerName val="0"/>
              <c:showPercent val="0"/>
              <c:showBubbleSize val="0"/>
            </c:dLbl>
            <c:dLbl>
              <c:idx val="13"/>
              <c:layout/>
              <c:tx>
                <c:strRef>
                  <c:f>Forecast_Evaluation_Total_Run!$A$18</c:f>
                  <c:strCache>
                    <c:ptCount val="1"/>
                    <c:pt idx="0">
                      <c:v>1984</c:v>
                    </c:pt>
                  </c:strCache>
                </c:strRef>
              </c:tx>
              <c:dLblPos val="r"/>
              <c:showLegendKey val="0"/>
              <c:showVal val="0"/>
              <c:showCatName val="0"/>
              <c:showSerName val="0"/>
              <c:showPercent val="0"/>
              <c:showBubbleSize val="0"/>
            </c:dLbl>
            <c:dLbl>
              <c:idx val="14"/>
              <c:layout/>
              <c:tx>
                <c:strRef>
                  <c:f>Forecast_Evaluation_Total_Run!$A$19</c:f>
                  <c:strCache>
                    <c:ptCount val="1"/>
                    <c:pt idx="0">
                      <c:v>1985</c:v>
                    </c:pt>
                  </c:strCache>
                </c:strRef>
              </c:tx>
              <c:dLblPos val="r"/>
              <c:showLegendKey val="0"/>
              <c:showVal val="0"/>
              <c:showCatName val="0"/>
              <c:showSerName val="0"/>
              <c:showPercent val="0"/>
              <c:showBubbleSize val="0"/>
            </c:dLbl>
            <c:dLbl>
              <c:idx val="15"/>
              <c:layout/>
              <c:tx>
                <c:strRef>
                  <c:f>Forecast_Evaluation_Total_Run!$A$20</c:f>
                  <c:strCache>
                    <c:ptCount val="1"/>
                    <c:pt idx="0">
                      <c:v>1986</c:v>
                    </c:pt>
                  </c:strCache>
                </c:strRef>
              </c:tx>
              <c:dLblPos val="r"/>
              <c:showLegendKey val="0"/>
              <c:showVal val="0"/>
              <c:showCatName val="0"/>
              <c:showSerName val="0"/>
              <c:showPercent val="0"/>
              <c:showBubbleSize val="0"/>
            </c:dLbl>
            <c:dLbl>
              <c:idx val="16"/>
              <c:layout/>
              <c:tx>
                <c:strRef>
                  <c:f>Forecast_Evaluation_Total_Run!$A$21</c:f>
                  <c:strCache>
                    <c:ptCount val="1"/>
                    <c:pt idx="0">
                      <c:v>1987</c:v>
                    </c:pt>
                  </c:strCache>
                </c:strRef>
              </c:tx>
              <c:dLblPos val="r"/>
              <c:showLegendKey val="0"/>
              <c:showVal val="0"/>
              <c:showCatName val="0"/>
              <c:showSerName val="0"/>
              <c:showPercent val="0"/>
              <c:showBubbleSize val="0"/>
            </c:dLbl>
            <c:dLbl>
              <c:idx val="17"/>
              <c:layout/>
              <c:tx>
                <c:strRef>
                  <c:f>Forecast_Evaluation_Total_Run!$A$22</c:f>
                  <c:strCache>
                    <c:ptCount val="1"/>
                    <c:pt idx="0">
                      <c:v>1988</c:v>
                    </c:pt>
                  </c:strCache>
                </c:strRef>
              </c:tx>
              <c:dLblPos val="r"/>
              <c:showLegendKey val="0"/>
              <c:showVal val="0"/>
              <c:showCatName val="0"/>
              <c:showSerName val="0"/>
              <c:showPercent val="0"/>
              <c:showBubbleSize val="0"/>
            </c:dLbl>
            <c:dLbl>
              <c:idx val="18"/>
              <c:layout/>
              <c:tx>
                <c:strRef>
                  <c:f>Forecast_Evaluation_Total_Run!$A$23</c:f>
                  <c:strCache>
                    <c:ptCount val="1"/>
                    <c:pt idx="0">
                      <c:v>1989</c:v>
                    </c:pt>
                  </c:strCache>
                </c:strRef>
              </c:tx>
              <c:dLblPos val="r"/>
              <c:showLegendKey val="0"/>
              <c:showVal val="0"/>
              <c:showCatName val="0"/>
              <c:showSerName val="0"/>
              <c:showPercent val="0"/>
              <c:showBubbleSize val="0"/>
            </c:dLbl>
            <c:dLbl>
              <c:idx val="19"/>
              <c:layout/>
              <c:tx>
                <c:strRef>
                  <c:f>Forecast_Evaluation_Total_Run!$A$24</c:f>
                  <c:strCache>
                    <c:ptCount val="1"/>
                    <c:pt idx="0">
                      <c:v>1990</c:v>
                    </c:pt>
                  </c:strCache>
                </c:strRef>
              </c:tx>
              <c:dLblPos val="r"/>
              <c:showLegendKey val="0"/>
              <c:showVal val="0"/>
              <c:showCatName val="0"/>
              <c:showSerName val="0"/>
              <c:showPercent val="0"/>
              <c:showBubbleSize val="0"/>
            </c:dLbl>
            <c:dLbl>
              <c:idx val="20"/>
              <c:layout/>
              <c:tx>
                <c:strRef>
                  <c:f>Forecast_Evaluation_Total_Run!$A$25</c:f>
                  <c:strCache>
                    <c:ptCount val="1"/>
                    <c:pt idx="0">
                      <c:v>1991</c:v>
                    </c:pt>
                  </c:strCache>
                </c:strRef>
              </c:tx>
              <c:dLblPos val="r"/>
              <c:showLegendKey val="0"/>
              <c:showVal val="0"/>
              <c:showCatName val="0"/>
              <c:showSerName val="0"/>
              <c:showPercent val="0"/>
              <c:showBubbleSize val="0"/>
            </c:dLbl>
            <c:dLbl>
              <c:idx val="21"/>
              <c:layout/>
              <c:tx>
                <c:strRef>
                  <c:f>Forecast_Evaluation_Total_Run!$A$26</c:f>
                  <c:strCache>
                    <c:ptCount val="1"/>
                    <c:pt idx="0">
                      <c:v>1992</c:v>
                    </c:pt>
                  </c:strCache>
                </c:strRef>
              </c:tx>
              <c:dLblPos val="r"/>
              <c:showLegendKey val="0"/>
              <c:showVal val="0"/>
              <c:showCatName val="0"/>
              <c:showSerName val="0"/>
              <c:showPercent val="0"/>
              <c:showBubbleSize val="0"/>
            </c:dLbl>
            <c:dLbl>
              <c:idx val="22"/>
              <c:layout/>
              <c:tx>
                <c:strRef>
                  <c:f>Forecast_Evaluation_Total_Run!$A$27</c:f>
                  <c:strCache>
                    <c:ptCount val="1"/>
                    <c:pt idx="0">
                      <c:v>1993</c:v>
                    </c:pt>
                  </c:strCache>
                </c:strRef>
              </c:tx>
              <c:dLblPos val="r"/>
              <c:showLegendKey val="0"/>
              <c:showVal val="0"/>
              <c:showCatName val="0"/>
              <c:showSerName val="0"/>
              <c:showPercent val="0"/>
              <c:showBubbleSize val="0"/>
            </c:dLbl>
            <c:dLbl>
              <c:idx val="23"/>
              <c:layout/>
              <c:tx>
                <c:strRef>
                  <c:f>Forecast_Evaluation_Total_Run!$A$28</c:f>
                  <c:strCache>
                    <c:ptCount val="1"/>
                    <c:pt idx="0">
                      <c:v>1994</c:v>
                    </c:pt>
                  </c:strCache>
                </c:strRef>
              </c:tx>
              <c:dLblPos val="r"/>
              <c:showLegendKey val="0"/>
              <c:showVal val="0"/>
              <c:showCatName val="0"/>
              <c:showSerName val="0"/>
              <c:showPercent val="0"/>
              <c:showBubbleSize val="0"/>
            </c:dLbl>
            <c:dLbl>
              <c:idx val="24"/>
              <c:layout/>
              <c:tx>
                <c:strRef>
                  <c:f>Forecast_Evaluation_Total_Run!$A$29</c:f>
                  <c:strCache>
                    <c:ptCount val="1"/>
                    <c:pt idx="0">
                      <c:v>1995</c:v>
                    </c:pt>
                  </c:strCache>
                </c:strRef>
              </c:tx>
              <c:dLblPos val="r"/>
              <c:showLegendKey val="0"/>
              <c:showVal val="0"/>
              <c:showCatName val="0"/>
              <c:showSerName val="0"/>
              <c:showPercent val="0"/>
              <c:showBubbleSize val="0"/>
            </c:dLbl>
            <c:dLbl>
              <c:idx val="25"/>
              <c:layout/>
              <c:tx>
                <c:strRef>
                  <c:f>Forecast_Evaluation_Total_Run!$A$30</c:f>
                  <c:strCache>
                    <c:ptCount val="1"/>
                    <c:pt idx="0">
                      <c:v>1996</c:v>
                    </c:pt>
                  </c:strCache>
                </c:strRef>
              </c:tx>
              <c:dLblPos val="r"/>
              <c:showLegendKey val="0"/>
              <c:showVal val="0"/>
              <c:showCatName val="0"/>
              <c:showSerName val="0"/>
              <c:showPercent val="0"/>
              <c:showBubbleSize val="0"/>
            </c:dLbl>
            <c:dLbl>
              <c:idx val="26"/>
              <c:layout/>
              <c:tx>
                <c:strRef>
                  <c:f>Forecast_Evaluation_Total_Run!$A$31</c:f>
                  <c:strCache>
                    <c:ptCount val="1"/>
                    <c:pt idx="0">
                      <c:v>1997</c:v>
                    </c:pt>
                  </c:strCache>
                </c:strRef>
              </c:tx>
              <c:dLblPos val="r"/>
              <c:showLegendKey val="0"/>
              <c:showVal val="0"/>
              <c:showCatName val="0"/>
              <c:showSerName val="0"/>
              <c:showPercent val="0"/>
              <c:showBubbleSize val="0"/>
            </c:dLbl>
            <c:dLbl>
              <c:idx val="27"/>
              <c:layout/>
              <c:tx>
                <c:strRef>
                  <c:f>Forecast_Evaluation_Total_Run!$A$32</c:f>
                  <c:strCache>
                    <c:ptCount val="1"/>
                    <c:pt idx="0">
                      <c:v>1998</c:v>
                    </c:pt>
                  </c:strCache>
                </c:strRef>
              </c:tx>
              <c:dLblPos val="r"/>
              <c:showLegendKey val="0"/>
              <c:showVal val="0"/>
              <c:showCatName val="0"/>
              <c:showSerName val="0"/>
              <c:showPercent val="0"/>
              <c:showBubbleSize val="0"/>
            </c:dLbl>
            <c:dLbl>
              <c:idx val="28"/>
              <c:layout/>
              <c:tx>
                <c:strRef>
                  <c:f>Forecast_Evaluation_Total_Run!$A$33</c:f>
                  <c:strCache>
                    <c:ptCount val="1"/>
                    <c:pt idx="0">
                      <c:v>1999</c:v>
                    </c:pt>
                  </c:strCache>
                </c:strRef>
              </c:tx>
              <c:dLblPos val="r"/>
              <c:showLegendKey val="0"/>
              <c:showVal val="0"/>
              <c:showCatName val="0"/>
              <c:showSerName val="0"/>
              <c:showPercent val="0"/>
              <c:showBubbleSize val="0"/>
            </c:dLbl>
            <c:dLbl>
              <c:idx val="29"/>
              <c:layout/>
              <c:tx>
                <c:strRef>
                  <c:f>Forecast_Evaluation_Total_Run!$A$34</c:f>
                  <c:strCache>
                    <c:ptCount val="1"/>
                    <c:pt idx="0">
                      <c:v>2000</c:v>
                    </c:pt>
                  </c:strCache>
                </c:strRef>
              </c:tx>
              <c:dLblPos val="r"/>
              <c:showLegendKey val="0"/>
              <c:showVal val="0"/>
              <c:showCatName val="0"/>
              <c:showSerName val="0"/>
              <c:showPercent val="0"/>
              <c:showBubbleSize val="0"/>
            </c:dLbl>
            <c:dLbl>
              <c:idx val="30"/>
              <c:layout/>
              <c:tx>
                <c:strRef>
                  <c:f>Forecast_Evaluation_Total_Run!$A$35</c:f>
                  <c:strCache>
                    <c:ptCount val="1"/>
                    <c:pt idx="0">
                      <c:v>2001</c:v>
                    </c:pt>
                  </c:strCache>
                </c:strRef>
              </c:tx>
              <c:dLblPos val="r"/>
              <c:showLegendKey val="0"/>
              <c:showVal val="0"/>
              <c:showCatName val="0"/>
              <c:showSerName val="0"/>
              <c:showPercent val="0"/>
              <c:showBubbleSize val="0"/>
            </c:dLbl>
            <c:dLbl>
              <c:idx val="31"/>
              <c:layout/>
              <c:tx>
                <c:strRef>
                  <c:f>Forecast_Evaluation_Total_Run!$A$36</c:f>
                  <c:strCache>
                    <c:ptCount val="1"/>
                    <c:pt idx="0">
                      <c:v>2002</c:v>
                    </c:pt>
                  </c:strCache>
                </c:strRef>
              </c:tx>
              <c:dLblPos val="r"/>
              <c:showLegendKey val="0"/>
              <c:showVal val="0"/>
              <c:showCatName val="0"/>
              <c:showSerName val="0"/>
              <c:showPercent val="0"/>
              <c:showBubbleSize val="0"/>
            </c:dLbl>
            <c:dLbl>
              <c:idx val="32"/>
              <c:layout/>
              <c:tx>
                <c:strRef>
                  <c:f>Forecast_Evaluation_Total_Run!$A$37</c:f>
                  <c:strCache>
                    <c:ptCount val="1"/>
                    <c:pt idx="0">
                      <c:v>2003</c:v>
                    </c:pt>
                  </c:strCache>
                </c:strRef>
              </c:tx>
              <c:dLblPos val="r"/>
              <c:showLegendKey val="0"/>
              <c:showVal val="0"/>
              <c:showCatName val="0"/>
              <c:showSerName val="0"/>
              <c:showPercent val="0"/>
              <c:showBubbleSize val="0"/>
            </c:dLbl>
            <c:dLbl>
              <c:idx val="33"/>
              <c:layout/>
              <c:tx>
                <c:strRef>
                  <c:f>Forecast_Evaluation_Total_Run!$A$38</c:f>
                  <c:strCache>
                    <c:ptCount val="1"/>
                    <c:pt idx="0">
                      <c:v>2004</c:v>
                    </c:pt>
                  </c:strCache>
                </c:strRef>
              </c:tx>
              <c:dLblPos val="r"/>
              <c:showLegendKey val="0"/>
              <c:showVal val="0"/>
              <c:showCatName val="0"/>
              <c:showSerName val="0"/>
              <c:showPercent val="0"/>
              <c:showBubbleSize val="0"/>
            </c:dLbl>
            <c:dLbl>
              <c:idx val="34"/>
              <c:layout/>
              <c:tx>
                <c:strRef>
                  <c:f>Forecast_Evaluation_Total_Run!$A$39</c:f>
                  <c:strCache>
                    <c:ptCount val="1"/>
                    <c:pt idx="0">
                      <c:v>2005</c:v>
                    </c:pt>
                  </c:strCache>
                </c:strRef>
              </c:tx>
              <c:dLblPos val="r"/>
              <c:showLegendKey val="0"/>
              <c:showVal val="0"/>
              <c:showCatName val="0"/>
              <c:showSerName val="0"/>
              <c:showPercent val="0"/>
              <c:showBubbleSize val="0"/>
            </c:dLbl>
            <c:dLbl>
              <c:idx val="35"/>
              <c:layout/>
              <c:tx>
                <c:strRef>
                  <c:f>Forecast_Evaluation_Total_Run!$A$40</c:f>
                  <c:strCache>
                    <c:ptCount val="1"/>
                    <c:pt idx="0">
                      <c:v>2006</c:v>
                    </c:pt>
                  </c:strCache>
                </c:strRef>
              </c:tx>
              <c:dLblPos val="r"/>
              <c:showLegendKey val="0"/>
              <c:showVal val="0"/>
              <c:showCatName val="0"/>
              <c:showSerName val="0"/>
              <c:showPercent val="0"/>
              <c:showBubbleSize val="0"/>
            </c:dLbl>
            <c:dLbl>
              <c:idx val="36"/>
              <c:layout/>
              <c:tx>
                <c:strRef>
                  <c:f>Forecast_Evaluation_Total_Run!$A$41</c:f>
                  <c:strCache>
                    <c:ptCount val="1"/>
                    <c:pt idx="0">
                      <c:v>2007</c:v>
                    </c:pt>
                  </c:strCache>
                </c:strRef>
              </c:tx>
              <c:dLblPos val="r"/>
              <c:showLegendKey val="0"/>
              <c:showVal val="0"/>
              <c:showCatName val="0"/>
              <c:showSerName val="0"/>
              <c:showPercent val="0"/>
              <c:showBubbleSize val="0"/>
            </c:dLbl>
            <c:dLbl>
              <c:idx val="37"/>
              <c:layout/>
              <c:tx>
                <c:strRef>
                  <c:f>Forecast_Evaluation_Total_Run!$A$42</c:f>
                  <c:strCache>
                    <c:ptCount val="1"/>
                    <c:pt idx="0">
                      <c:v>2008</c:v>
                    </c:pt>
                  </c:strCache>
                </c:strRef>
              </c:tx>
              <c:dLblPos val="r"/>
              <c:showLegendKey val="0"/>
              <c:showVal val="0"/>
              <c:showCatName val="0"/>
              <c:showSerName val="0"/>
              <c:showPercent val="0"/>
              <c:showBubbleSize val="0"/>
            </c:dLbl>
            <c:dLbl>
              <c:idx val="38"/>
              <c:layout/>
              <c:tx>
                <c:strRef>
                  <c:f>Forecast_Evaluation_Total_Run!$A$43</c:f>
                  <c:strCache>
                    <c:ptCount val="1"/>
                    <c:pt idx="0">
                      <c:v>2009</c:v>
                    </c:pt>
                  </c:strCache>
                </c:strRef>
              </c:tx>
              <c:dLblPos val="r"/>
              <c:showLegendKey val="0"/>
              <c:showVal val="0"/>
              <c:showCatName val="0"/>
              <c:showSerName val="0"/>
              <c:showPercent val="0"/>
              <c:showBubbleSize val="0"/>
            </c:dLbl>
            <c:dLbl>
              <c:idx val="39"/>
              <c:layout/>
              <c:tx>
                <c:strRef>
                  <c:f>Forecast_Evaluation_Total_Run!$A$44</c:f>
                  <c:strCache>
                    <c:ptCount val="1"/>
                    <c:pt idx="0">
                      <c:v>2010</c:v>
                    </c:pt>
                  </c:strCache>
                </c:strRef>
              </c:tx>
              <c:dLblPos val="r"/>
              <c:showLegendKey val="0"/>
              <c:showVal val="0"/>
              <c:showCatName val="0"/>
              <c:showSerName val="0"/>
              <c:showPercent val="0"/>
              <c:showBubbleSize val="0"/>
            </c:dLbl>
            <c:txPr>
              <a:bodyPr/>
              <a:lstStyle/>
              <a:p>
                <a:pPr>
                  <a:defRPr sz="1200" b="0" i="0" u="none" strike="noStrike" baseline="0">
                    <a:solidFill>
                      <a:srgbClr val="000000"/>
                    </a:solidFill>
                    <a:latin typeface="Tahoma"/>
                    <a:ea typeface="Tahoma"/>
                    <a:cs typeface="Tahoma"/>
                  </a:defRPr>
                </a:pPr>
                <a:endParaRPr lang="en-US"/>
              </a:p>
            </c:txPr>
            <c:showLegendKey val="0"/>
            <c:showVal val="1"/>
            <c:showCatName val="0"/>
            <c:showSerName val="0"/>
            <c:showPercent val="0"/>
            <c:showBubbleSize val="0"/>
            <c:showLeaderLines val="0"/>
          </c:dLbls>
          <c:trendline>
            <c:spPr>
              <a:ln w="25400">
                <a:solidFill>
                  <a:srgbClr val="000000"/>
                </a:solidFill>
                <a:prstDash val="solid"/>
              </a:ln>
            </c:spPr>
            <c:trendlineType val="linear"/>
            <c:dispRSqr val="1"/>
            <c:dispEq val="1"/>
            <c:trendlineLbl>
              <c:layout>
                <c:manualLayout>
                  <c:x val="-0.320424183288328"/>
                  <c:y val="-0.184480910474426"/>
                </c:manualLayout>
              </c:layout>
              <c:numFmt formatCode="General" sourceLinked="0"/>
              <c:spPr>
                <a:noFill/>
                <a:ln w="25400">
                  <a:noFill/>
                </a:ln>
              </c:spPr>
              <c:txPr>
                <a:bodyPr/>
                <a:lstStyle/>
                <a:p>
                  <a:pPr>
                    <a:defRPr sz="1200" b="0" i="0" u="none" strike="noStrike" baseline="0">
                      <a:solidFill>
                        <a:srgbClr val="000000"/>
                      </a:solidFill>
                      <a:latin typeface="Tahoma"/>
                      <a:ea typeface="Tahoma"/>
                      <a:cs typeface="Tahoma"/>
                    </a:defRPr>
                  </a:pPr>
                  <a:endParaRPr lang="en-US"/>
                </a:p>
              </c:txPr>
            </c:trendlineLbl>
          </c:trendline>
          <c:xVal>
            <c:numRef>
              <c:f>Forecast_Evaluation_Total_Run!$E$5:$E$44</c:f>
              <c:numCache>
                <c:formatCode>#,##0</c:formatCode>
                <c:ptCount val="40"/>
                <c:pt idx="0">
                  <c:v>292211.0</c:v>
                </c:pt>
                <c:pt idx="1">
                  <c:v>684035.0</c:v>
                </c:pt>
                <c:pt idx="2">
                  <c:v>314560.0</c:v>
                </c:pt>
                <c:pt idx="3">
                  <c:v>1.221109E6</c:v>
                </c:pt>
                <c:pt idx="4">
                  <c:v>255444.0</c:v>
                </c:pt>
                <c:pt idx="5">
                  <c:v>125504.7142857143</c:v>
                </c:pt>
                <c:pt idx="6">
                  <c:v>460922.9206349206</c:v>
                </c:pt>
                <c:pt idx="7">
                  <c:v>698076.1825396826</c:v>
                </c:pt>
                <c:pt idx="8">
                  <c:v>664097.9444444445</c:v>
                </c:pt>
                <c:pt idx="9">
                  <c:v>385054.2063492063</c:v>
                </c:pt>
                <c:pt idx="10">
                  <c:v>489257.4047619047</c:v>
                </c:pt>
                <c:pt idx="11">
                  <c:v>1.87820995238095E6</c:v>
                </c:pt>
                <c:pt idx="12">
                  <c:v>1.57800212698413E6</c:v>
                </c:pt>
                <c:pt idx="13">
                  <c:v>1.35441072222222E6</c:v>
                </c:pt>
                <c:pt idx="14">
                  <c:v>1.3878973015873E6</c:v>
                </c:pt>
                <c:pt idx="15">
                  <c:v>1.39587746031746E6</c:v>
                </c:pt>
                <c:pt idx="16">
                  <c:v>1.92863068253968E6</c:v>
                </c:pt>
                <c:pt idx="17">
                  <c:v>1.94872870961718E6</c:v>
                </c:pt>
                <c:pt idx="18">
                  <c:v>1.8920079318394E6</c:v>
                </c:pt>
                <c:pt idx="19">
                  <c:v>965670.9635854342</c:v>
                </c:pt>
                <c:pt idx="20">
                  <c:v>727873.8921568628</c:v>
                </c:pt>
                <c:pt idx="21">
                  <c:v>278785.0826330532</c:v>
                </c:pt>
                <c:pt idx="22">
                  <c:v>271152.0746965453</c:v>
                </c:pt>
                <c:pt idx="23">
                  <c:v>295340.0667600373</c:v>
                </c:pt>
                <c:pt idx="24">
                  <c:v>341916.3842203548</c:v>
                </c:pt>
                <c:pt idx="25">
                  <c:v>402325.7096171801</c:v>
                </c:pt>
                <c:pt idx="26">
                  <c:v>590561.8907563025</c:v>
                </c:pt>
                <c:pt idx="27">
                  <c:v>548231.5256769375</c:v>
                </c:pt>
                <c:pt idx="28">
                  <c:v>480629.1526610645</c:v>
                </c:pt>
                <c:pt idx="29">
                  <c:v>593087.4780578898</c:v>
                </c:pt>
                <c:pt idx="30">
                  <c:v>860702.343137255</c:v>
                </c:pt>
                <c:pt idx="31">
                  <c:v>903342.4383753501</c:v>
                </c:pt>
                <c:pt idx="32">
                  <c:v>472901.0476190476</c:v>
                </c:pt>
                <c:pt idx="33">
                  <c:v>867191.2777777779</c:v>
                </c:pt>
                <c:pt idx="34">
                  <c:v>503590.1031746031</c:v>
                </c:pt>
                <c:pt idx="35">
                  <c:v>312367.0158730158</c:v>
                </c:pt>
                <c:pt idx="36">
                  <c:v>455159.4285714286</c:v>
                </c:pt>
                <c:pt idx="37">
                  <c:v>440008.5634920635</c:v>
                </c:pt>
                <c:pt idx="38">
                  <c:v>427660.0</c:v>
                </c:pt>
                <c:pt idx="39">
                  <c:v>482920.365079365</c:v>
                </c:pt>
              </c:numCache>
            </c:numRef>
          </c:xVal>
          <c:yVal>
            <c:numRef>
              <c:f>Forecast_Evaluation_Total_Run!$C$5:$C$44</c:f>
              <c:numCache>
                <c:formatCode>#,##0</c:formatCode>
                <c:ptCount val="40"/>
                <c:pt idx="0">
                  <c:v>684035.0</c:v>
                </c:pt>
                <c:pt idx="1">
                  <c:v>314560.0</c:v>
                </c:pt>
                <c:pt idx="2">
                  <c:v>1.221109E6</c:v>
                </c:pt>
                <c:pt idx="3">
                  <c:v>255444.0</c:v>
                </c:pt>
                <c:pt idx="4">
                  <c:v>125504.7142857143</c:v>
                </c:pt>
                <c:pt idx="5">
                  <c:v>460922.9206349206</c:v>
                </c:pt>
                <c:pt idx="6">
                  <c:v>698076.1825396826</c:v>
                </c:pt>
                <c:pt idx="7">
                  <c:v>664097.9444444445</c:v>
                </c:pt>
                <c:pt idx="8">
                  <c:v>385054.2063492063</c:v>
                </c:pt>
                <c:pt idx="9">
                  <c:v>489257.4047619047</c:v>
                </c:pt>
                <c:pt idx="10">
                  <c:v>1.87820995238095E6</c:v>
                </c:pt>
                <c:pt idx="11">
                  <c:v>1.57800212698413E6</c:v>
                </c:pt>
                <c:pt idx="12">
                  <c:v>1.35441072222222E6</c:v>
                </c:pt>
                <c:pt idx="13">
                  <c:v>1.3878973015873E6</c:v>
                </c:pt>
                <c:pt idx="14">
                  <c:v>1.39587746031746E6</c:v>
                </c:pt>
                <c:pt idx="15">
                  <c:v>1.92863068253968E6</c:v>
                </c:pt>
                <c:pt idx="16">
                  <c:v>1.94872870961718E6</c:v>
                </c:pt>
                <c:pt idx="17">
                  <c:v>1.8920079318394E6</c:v>
                </c:pt>
                <c:pt idx="18">
                  <c:v>965670.9635854342</c:v>
                </c:pt>
                <c:pt idx="19">
                  <c:v>727873.8921568628</c:v>
                </c:pt>
                <c:pt idx="20">
                  <c:v>278785.0826330532</c:v>
                </c:pt>
                <c:pt idx="21">
                  <c:v>271152.0746965453</c:v>
                </c:pt>
                <c:pt idx="22">
                  <c:v>295340.0667600373</c:v>
                </c:pt>
                <c:pt idx="23">
                  <c:v>341916.3842203548</c:v>
                </c:pt>
                <c:pt idx="24">
                  <c:v>402325.7096171801</c:v>
                </c:pt>
                <c:pt idx="25">
                  <c:v>590561.8907563025</c:v>
                </c:pt>
                <c:pt idx="26">
                  <c:v>548231.5256769375</c:v>
                </c:pt>
                <c:pt idx="27">
                  <c:v>480629.1526610645</c:v>
                </c:pt>
                <c:pt idx="28">
                  <c:v>593087.4780578898</c:v>
                </c:pt>
                <c:pt idx="29">
                  <c:v>860702.343137255</c:v>
                </c:pt>
                <c:pt idx="30">
                  <c:v>903342.4383753501</c:v>
                </c:pt>
                <c:pt idx="31">
                  <c:v>472901.0476190476</c:v>
                </c:pt>
                <c:pt idx="32">
                  <c:v>867191.2777777779</c:v>
                </c:pt>
                <c:pt idx="33">
                  <c:v>503590.1031746031</c:v>
                </c:pt>
                <c:pt idx="34">
                  <c:v>312367.0158730158</c:v>
                </c:pt>
                <c:pt idx="35">
                  <c:v>455159.4285714286</c:v>
                </c:pt>
                <c:pt idx="36">
                  <c:v>440008.5634920635</c:v>
                </c:pt>
                <c:pt idx="37">
                  <c:v>427660.0</c:v>
                </c:pt>
                <c:pt idx="38">
                  <c:v>482920.365079365</c:v>
                </c:pt>
                <c:pt idx="39">
                  <c:v>589913.3730101232</c:v>
                </c:pt>
              </c:numCache>
            </c:numRef>
          </c:yVal>
          <c:smooth val="0"/>
        </c:ser>
        <c:dLbls>
          <c:showLegendKey val="0"/>
          <c:showVal val="0"/>
          <c:showCatName val="0"/>
          <c:showSerName val="0"/>
          <c:showPercent val="0"/>
          <c:showBubbleSize val="0"/>
        </c:dLbls>
        <c:axId val="2072288552"/>
        <c:axId val="2072276824"/>
      </c:scatterChart>
      <c:valAx>
        <c:axId val="2072288552"/>
        <c:scaling>
          <c:orientation val="minMax"/>
        </c:scaling>
        <c:delete val="0"/>
        <c:axPos val="b"/>
        <c:title>
          <c:tx>
            <c:rich>
              <a:bodyPr/>
              <a:lstStyle/>
              <a:p>
                <a:pPr>
                  <a:defRPr sz="1200" b="1" i="0" u="none" strike="noStrike" baseline="0">
                    <a:solidFill>
                      <a:srgbClr val="000000"/>
                    </a:solidFill>
                    <a:latin typeface="Tahoma"/>
                    <a:ea typeface="Tahoma"/>
                    <a:cs typeface="Tahoma"/>
                  </a:defRPr>
                </a:pPr>
                <a:r>
                  <a:rPr lang="en-US"/>
                  <a:t>Year T0  total run size</a:t>
                </a:r>
              </a:p>
            </c:rich>
          </c:tx>
          <c:layout>
            <c:manualLayout>
              <c:xMode val="edge"/>
              <c:yMode val="edge"/>
              <c:x val="0.361083400139836"/>
              <c:y val="0.9324155279258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2072276824"/>
        <c:crosses val="autoZero"/>
        <c:crossBetween val="midCat"/>
      </c:valAx>
      <c:valAx>
        <c:axId val="2072276824"/>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ahoma"/>
                    <a:ea typeface="Tahoma"/>
                    <a:cs typeface="Tahoma"/>
                  </a:defRPr>
                </a:pPr>
                <a:r>
                  <a:rPr lang="en-US"/>
                  <a:t>Year T1 total run size</a:t>
                </a:r>
              </a:p>
            </c:rich>
          </c:tx>
          <c:layout>
            <c:manualLayout>
              <c:xMode val="edge"/>
              <c:yMode val="edge"/>
              <c:x val="0.00792394674515058"/>
              <c:y val="0.26158065516352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Tahoma"/>
                <a:ea typeface="Tahoma"/>
                <a:cs typeface="Tahoma"/>
              </a:defRPr>
            </a:pPr>
            <a:endParaRPr lang="en-US"/>
          </a:p>
        </c:txPr>
        <c:crossAx val="207228855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ahoma"/>
          <a:ea typeface="Tahoma"/>
          <a:cs typeface="Tahoma"/>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31</xdr:col>
      <xdr:colOff>45720</xdr:colOff>
      <xdr:row>2</xdr:row>
      <xdr:rowOff>30480</xdr:rowOff>
    </xdr:from>
    <xdr:to>
      <xdr:col>48</xdr:col>
      <xdr:colOff>91440</xdr:colOff>
      <xdr:row>26</xdr:row>
      <xdr:rowOff>0</xdr:rowOff>
    </xdr:to>
    <xdr:graphicFrame macro="">
      <xdr:nvGraphicFramePr>
        <xdr:cNvPr id="2765"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38100</xdr:colOff>
      <xdr:row>26</xdr:row>
      <xdr:rowOff>45720</xdr:rowOff>
    </xdr:from>
    <xdr:to>
      <xdr:col>48</xdr:col>
      <xdr:colOff>53340</xdr:colOff>
      <xdr:row>58</xdr:row>
      <xdr:rowOff>114300</xdr:rowOff>
    </xdr:to>
    <xdr:graphicFrame macro="">
      <xdr:nvGraphicFramePr>
        <xdr:cNvPr id="2766"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541020</xdr:colOff>
      <xdr:row>62</xdr:row>
      <xdr:rowOff>15240</xdr:rowOff>
    </xdr:from>
    <xdr:to>
      <xdr:col>18</xdr:col>
      <xdr:colOff>487680</xdr:colOff>
      <xdr:row>88</xdr:row>
      <xdr:rowOff>144780</xdr:rowOff>
    </xdr:to>
    <xdr:pic>
      <xdr:nvPicPr>
        <xdr:cNvPr id="2767"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99960" y="11209020"/>
          <a:ext cx="4290060" cy="472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59</xdr:row>
      <xdr:rowOff>144780</xdr:rowOff>
    </xdr:from>
    <xdr:to>
      <xdr:col>10</xdr:col>
      <xdr:colOff>701040</xdr:colOff>
      <xdr:row>89</xdr:row>
      <xdr:rowOff>0</xdr:rowOff>
    </xdr:to>
    <xdr:graphicFrame macro="">
      <xdr:nvGraphicFramePr>
        <xdr:cNvPr id="338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2:T20"/>
  <sheetViews>
    <sheetView workbookViewId="0">
      <selection activeCell="I3" sqref="I3"/>
    </sheetView>
  </sheetViews>
  <sheetFormatPr baseColWidth="10" defaultColWidth="8.83203125" defaultRowHeight="12" x14ac:dyDescent="0"/>
  <cols>
    <col min="8" max="8" width="18.83203125" customWidth="1"/>
  </cols>
  <sheetData>
    <row r="2" spans="1:20" ht="13" thickBot="1"/>
    <row r="3" spans="1:20" ht="43" thickBot="1">
      <c r="A3" s="1" t="s">
        <v>47</v>
      </c>
      <c r="B3" s="24" t="s">
        <v>123</v>
      </c>
      <c r="H3" s="202" t="str">
        <f>"Forecast Year="</f>
        <v>Forecast Year=</v>
      </c>
      <c r="I3" s="201">
        <v>2015</v>
      </c>
    </row>
    <row r="4" spans="1:20" ht="15">
      <c r="B4" s="24" t="s">
        <v>50</v>
      </c>
    </row>
    <row r="7" spans="1:20"/>
    <row r="12" spans="1:20">
      <c r="A12" s="223" t="s">
        <v>30</v>
      </c>
      <c r="B12" s="223"/>
      <c r="C12" s="223"/>
      <c r="D12" s="223"/>
      <c r="E12" s="223"/>
      <c r="F12" s="223"/>
      <c r="G12" s="223"/>
      <c r="H12" s="223"/>
      <c r="I12" s="223"/>
      <c r="J12" s="223"/>
      <c r="K12" s="223"/>
      <c r="L12" s="223"/>
      <c r="M12" s="223"/>
      <c r="N12" s="223"/>
      <c r="O12" s="223"/>
      <c r="P12" s="223"/>
      <c r="Q12" s="223"/>
      <c r="R12" s="223"/>
      <c r="S12" s="223"/>
      <c r="T12" s="223"/>
    </row>
    <row r="13" spans="1:20">
      <c r="A13" s="223"/>
      <c r="B13" s="223" t="s">
        <v>31</v>
      </c>
      <c r="C13" s="223"/>
      <c r="D13" s="223"/>
      <c r="E13" s="223"/>
      <c r="F13" s="223"/>
      <c r="G13" s="223"/>
      <c r="H13" s="223"/>
      <c r="I13" s="223"/>
      <c r="J13" s="223"/>
      <c r="K13" s="223"/>
      <c r="L13" s="223"/>
      <c r="M13" s="223"/>
      <c r="N13" s="223"/>
      <c r="O13" s="223"/>
      <c r="P13" s="223"/>
      <c r="Q13" s="223"/>
      <c r="R13" s="223"/>
      <c r="S13" s="223"/>
      <c r="T13" s="223"/>
    </row>
    <row r="14" spans="1:20">
      <c r="A14" s="223"/>
      <c r="B14" s="223"/>
      <c r="C14" s="223"/>
      <c r="D14" s="223"/>
      <c r="E14" s="223"/>
      <c r="F14" s="223"/>
      <c r="G14" s="223"/>
      <c r="H14" s="223"/>
      <c r="I14" s="223"/>
      <c r="J14" s="223"/>
      <c r="K14" s="223"/>
      <c r="L14" s="223"/>
      <c r="M14" s="223"/>
      <c r="N14" s="223"/>
      <c r="O14" s="223"/>
      <c r="P14" s="223"/>
      <c r="Q14" s="223"/>
      <c r="R14" s="223"/>
      <c r="S14" s="223"/>
      <c r="T14" s="223"/>
    </row>
    <row r="15" spans="1:20">
      <c r="A15" s="223"/>
      <c r="B15" s="223"/>
      <c r="C15" s="223"/>
      <c r="D15" s="223"/>
      <c r="E15" s="223"/>
      <c r="F15" s="223"/>
      <c r="G15" s="223"/>
      <c r="H15" s="223"/>
      <c r="I15" s="223"/>
      <c r="J15" s="223"/>
      <c r="K15" s="223"/>
      <c r="L15" s="223"/>
      <c r="M15" s="223"/>
      <c r="N15" s="223"/>
      <c r="O15" s="223"/>
      <c r="P15" s="223"/>
      <c r="Q15" s="223"/>
      <c r="R15" s="223"/>
      <c r="S15" s="223"/>
      <c r="T15" s="223"/>
    </row>
    <row r="16" spans="1:20">
      <c r="A16" s="223" t="s">
        <v>45</v>
      </c>
      <c r="B16" s="223"/>
      <c r="C16" s="223"/>
      <c r="D16" s="223"/>
      <c r="E16" s="223"/>
      <c r="F16" s="223"/>
      <c r="G16" s="223"/>
      <c r="H16" s="223"/>
      <c r="I16" s="223"/>
      <c r="J16" s="223"/>
      <c r="K16" s="223"/>
      <c r="L16" s="223"/>
      <c r="M16" s="223"/>
      <c r="N16" s="223"/>
      <c r="O16" s="223"/>
      <c r="P16" s="223"/>
      <c r="Q16" s="223"/>
      <c r="R16" s="223"/>
      <c r="S16" s="223"/>
      <c r="T16" s="223"/>
    </row>
    <row r="17" spans="1:20">
      <c r="A17" s="223"/>
      <c r="B17" s="223" t="s">
        <v>46</v>
      </c>
      <c r="C17" s="223"/>
      <c r="D17" s="223"/>
      <c r="E17" s="223"/>
      <c r="F17" s="223"/>
      <c r="G17" s="223"/>
      <c r="H17" s="223"/>
      <c r="I17" s="223"/>
      <c r="J17" s="223"/>
      <c r="K17" s="223"/>
      <c r="L17" s="223"/>
      <c r="M17" s="223"/>
      <c r="N17" s="223"/>
      <c r="O17" s="223"/>
      <c r="P17" s="223"/>
      <c r="Q17" s="223"/>
      <c r="R17" s="223"/>
      <c r="S17" s="223"/>
      <c r="T17" s="223"/>
    </row>
    <row r="18" spans="1:20">
      <c r="A18" s="223"/>
      <c r="B18" s="223"/>
      <c r="C18" s="223"/>
      <c r="D18" s="223"/>
      <c r="E18" s="223"/>
      <c r="F18" s="223"/>
      <c r="G18" s="223"/>
      <c r="H18" s="223"/>
      <c r="I18" s="223"/>
      <c r="J18" s="223"/>
      <c r="K18" s="223"/>
      <c r="L18" s="223"/>
      <c r="M18" s="223"/>
      <c r="N18" s="223"/>
      <c r="O18" s="223"/>
      <c r="P18" s="223"/>
      <c r="Q18" s="223"/>
      <c r="R18" s="223"/>
      <c r="S18" s="223"/>
      <c r="T18" s="223"/>
    </row>
    <row r="19" spans="1:20">
      <c r="A19" s="223"/>
      <c r="B19" s="223"/>
      <c r="C19" s="223"/>
      <c r="D19" s="223"/>
      <c r="E19" s="223"/>
      <c r="F19" s="223"/>
      <c r="G19" s="223"/>
      <c r="H19" s="223"/>
      <c r="I19" s="223"/>
      <c r="J19" s="223"/>
      <c r="K19" s="223"/>
      <c r="L19" s="223"/>
      <c r="M19" s="223"/>
      <c r="N19" s="223"/>
      <c r="O19" s="223"/>
      <c r="P19" s="223"/>
      <c r="Q19" s="223"/>
      <c r="R19" s="223"/>
      <c r="S19" s="223"/>
      <c r="T19" s="223"/>
    </row>
    <row r="20" spans="1:20">
      <c r="A20" s="223" t="s">
        <v>78</v>
      </c>
      <c r="B20" s="223"/>
      <c r="C20" s="223"/>
      <c r="D20" s="223"/>
      <c r="E20" s="223"/>
      <c r="F20" s="223"/>
      <c r="G20" s="223"/>
      <c r="H20" s="223"/>
      <c r="I20" s="223"/>
      <c r="J20" s="223"/>
      <c r="K20" s="223"/>
      <c r="L20" s="223"/>
      <c r="M20" s="223"/>
      <c r="N20" s="223"/>
      <c r="O20" s="223"/>
      <c r="P20" s="223"/>
      <c r="Q20" s="223"/>
      <c r="R20" s="223"/>
      <c r="S20" s="223"/>
      <c r="T20" s="223"/>
    </row>
  </sheetData>
  <phoneticPr fontId="14"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pageSetUpPr fitToPage="1"/>
  </sheetPr>
  <dimension ref="A1:AC73"/>
  <sheetViews>
    <sheetView tabSelected="1" workbookViewId="0">
      <pane ySplit="9" topLeftCell="A20" activePane="bottomLeft" state="frozen"/>
      <selection pane="bottomLeft" activeCell="P20" sqref="P20:P54"/>
    </sheetView>
  </sheetViews>
  <sheetFormatPr baseColWidth="10" defaultColWidth="9.33203125" defaultRowHeight="12" x14ac:dyDescent="0"/>
  <cols>
    <col min="1" max="1" width="15.83203125" style="11" customWidth="1"/>
    <col min="2" max="3" width="15.83203125" style="11" hidden="1" customWidth="1"/>
    <col min="4" max="4" width="9.83203125" style="11" hidden="1" customWidth="1"/>
    <col min="5" max="5" width="11.1640625" style="11" hidden="1" customWidth="1"/>
    <col min="6" max="8" width="10.1640625" style="11" hidden="1" customWidth="1"/>
    <col min="9" max="9" width="8.33203125" style="11" hidden="1" customWidth="1"/>
    <col min="10" max="10" width="15.33203125" style="11" hidden="1" customWidth="1"/>
    <col min="11" max="11" width="7.6640625" style="11" hidden="1" customWidth="1"/>
    <col min="12" max="12" width="0" style="11" hidden="1" customWidth="1"/>
    <col min="13" max="13" width="12.1640625" style="11" hidden="1" customWidth="1"/>
    <col min="14" max="14" width="7.6640625" style="11" hidden="1" customWidth="1"/>
    <col min="15" max="15" width="12.5" style="11" hidden="1" customWidth="1"/>
    <col min="16" max="16" width="15.83203125" style="11" customWidth="1"/>
    <col min="17" max="17" width="14.33203125" style="11" customWidth="1"/>
    <col min="18" max="18" width="25.83203125" style="11" customWidth="1"/>
    <col min="19" max="19" width="12.1640625" style="11" customWidth="1"/>
    <col min="20" max="20" width="12.6640625" style="11" customWidth="1"/>
    <col min="21" max="21" width="12.83203125" style="11" customWidth="1"/>
    <col min="22" max="22" width="15" style="11" customWidth="1"/>
    <col min="23" max="23" width="13" style="11" bestFit="1" customWidth="1"/>
    <col min="24" max="24" width="11.33203125" style="11" bestFit="1" customWidth="1"/>
    <col min="25" max="25" width="18" style="122" customWidth="1"/>
    <col min="26" max="28" width="11.33203125" style="11" customWidth="1"/>
    <col min="29" max="16384" width="9.33203125" style="11"/>
  </cols>
  <sheetData>
    <row r="1" spans="1:28">
      <c r="A1" s="183" t="str">
        <f ca="1">CELL("filename")</f>
        <v>NWCLM04072996:Users:eric.ward:Documents:NCEAS-covariation:data:salmon data:data for analysis:[Copper_Chinook_final.xlsx]DATA</v>
      </c>
      <c r="B1" s="183"/>
      <c r="C1" s="183"/>
      <c r="D1" s="184"/>
      <c r="E1" s="184"/>
      <c r="F1" s="184"/>
      <c r="G1" s="184"/>
      <c r="H1" s="184"/>
      <c r="I1" s="184"/>
      <c r="J1" s="184"/>
      <c r="K1" s="184"/>
      <c r="L1" s="184"/>
      <c r="M1" s="184"/>
      <c r="N1" s="184"/>
      <c r="O1" s="184"/>
    </row>
    <row r="2" spans="1:28" ht="13" thickBot="1">
      <c r="A2" s="251"/>
      <c r="B2" s="251"/>
      <c r="C2" s="251"/>
      <c r="D2" s="252"/>
      <c r="E2" s="252"/>
      <c r="F2" s="252"/>
      <c r="G2" s="252"/>
      <c r="H2" s="252"/>
      <c r="I2" s="252"/>
      <c r="J2" s="252"/>
      <c r="M2" s="33"/>
      <c r="N2" s="33"/>
    </row>
    <row r="3" spans="1:28" ht="25.5" customHeight="1">
      <c r="A3" s="39"/>
      <c r="B3" s="39"/>
      <c r="C3" s="39"/>
      <c r="L3" s="15"/>
      <c r="M3" s="40" t="s">
        <v>24</v>
      </c>
      <c r="N3" s="41">
        <v>80</v>
      </c>
      <c r="O3" s="42" t="s">
        <v>25</v>
      </c>
      <c r="P3" s="253" t="s">
        <v>48</v>
      </c>
      <c r="Q3" s="254"/>
      <c r="R3" s="44"/>
      <c r="T3" s="45" t="s">
        <v>60</v>
      </c>
      <c r="U3" s="46">
        <f>COUNTA(W11:W59)-1</f>
        <v>43</v>
      </c>
      <c r="Z3" s="47" t="s">
        <v>62</v>
      </c>
      <c r="AA3" s="48" t="s">
        <v>63</v>
      </c>
    </row>
    <row r="4" spans="1:28" ht="25.5" customHeight="1">
      <c r="B4" s="204" t="s">
        <v>18</v>
      </c>
      <c r="D4" s="203">
        <f>Fcst_YR</f>
        <v>2015</v>
      </c>
      <c r="L4" s="16"/>
      <c r="M4" s="49" t="s">
        <v>26</v>
      </c>
      <c r="N4" s="50">
        <f>(1-N3/100)/2</f>
        <v>9.9999999999999978E-2</v>
      </c>
      <c r="O4" s="255" t="s">
        <v>27</v>
      </c>
      <c r="P4" s="255"/>
      <c r="Q4" s="26"/>
      <c r="R4" s="51"/>
      <c r="T4" s="52" t="s">
        <v>61</v>
      </c>
      <c r="U4" s="53">
        <f>VLOOKUP(U3,Z5:AA45,2)</f>
        <v>1.3029999999999999</v>
      </c>
      <c r="Z4" s="54" t="s">
        <v>2</v>
      </c>
      <c r="AA4" s="55">
        <v>0.2</v>
      </c>
    </row>
    <row r="5" spans="1:28">
      <c r="A5" s="33"/>
      <c r="B5" s="33"/>
      <c r="C5" s="33"/>
      <c r="J5" s="56"/>
      <c r="K5" s="28"/>
      <c r="L5" s="16"/>
      <c r="M5" s="49" t="s">
        <v>28</v>
      </c>
      <c r="N5" s="50">
        <f>(1-N4)</f>
        <v>0.9</v>
      </c>
      <c r="O5" s="255" t="s">
        <v>27</v>
      </c>
      <c r="P5" s="255"/>
      <c r="Q5" s="26"/>
      <c r="R5" s="51"/>
      <c r="Z5" s="57">
        <v>1</v>
      </c>
      <c r="AA5" s="58">
        <v>3.0779999999999998</v>
      </c>
    </row>
    <row r="6" spans="1:28" ht="17.25" customHeight="1" thickBot="1">
      <c r="A6" s="196" t="s">
        <v>13</v>
      </c>
      <c r="B6" s="29"/>
      <c r="C6" s="29"/>
      <c r="L6" s="17"/>
      <c r="M6" s="59" t="s">
        <v>29</v>
      </c>
      <c r="N6" s="60">
        <f>-NORMSINV(N4)</f>
        <v>1.2815515655446006</v>
      </c>
      <c r="O6" s="256" t="s">
        <v>27</v>
      </c>
      <c r="P6" s="256"/>
      <c r="Q6" s="18"/>
      <c r="R6" s="19"/>
      <c r="Z6" s="61">
        <v>2</v>
      </c>
      <c r="AA6" s="62">
        <v>1.8859999999999999</v>
      </c>
    </row>
    <row r="7" spans="1:28" ht="17.25" customHeight="1" thickBot="1">
      <c r="A7" s="37"/>
      <c r="B7" s="37"/>
      <c r="C7" s="37"/>
      <c r="D7" s="18"/>
      <c r="E7" s="18"/>
      <c r="F7" s="18"/>
      <c r="G7" s="18"/>
      <c r="H7" s="18"/>
      <c r="I7" s="18"/>
      <c r="J7" s="18"/>
      <c r="K7" s="18"/>
      <c r="L7" s="18"/>
      <c r="M7" s="18"/>
      <c r="N7" s="18"/>
      <c r="O7" s="18"/>
      <c r="P7" s="18"/>
      <c r="Q7" s="18"/>
      <c r="R7" s="18"/>
      <c r="S7" s="18"/>
      <c r="V7" s="63" t="s">
        <v>54</v>
      </c>
      <c r="Z7" s="61">
        <v>3</v>
      </c>
      <c r="AA7" s="62">
        <v>1.6379999999999999</v>
      </c>
    </row>
    <row r="8" spans="1:28" ht="18" customHeight="1">
      <c r="A8" s="33"/>
      <c r="B8" s="33"/>
      <c r="C8" s="33"/>
      <c r="D8" s="64"/>
      <c r="E8" s="64"/>
      <c r="F8" s="105" t="s">
        <v>15</v>
      </c>
      <c r="G8" s="105"/>
      <c r="H8" s="105"/>
      <c r="I8" s="65"/>
      <c r="J8" s="64"/>
      <c r="K8" s="64"/>
      <c r="L8" s="64"/>
      <c r="M8" s="64"/>
      <c r="N8" s="64"/>
      <c r="O8" s="30" t="s">
        <v>0</v>
      </c>
      <c r="P8" s="11" t="s">
        <v>17</v>
      </c>
      <c r="Q8" s="241" t="s">
        <v>1</v>
      </c>
      <c r="R8" s="30"/>
      <c r="S8" s="30"/>
      <c r="V8" s="63" t="s">
        <v>55</v>
      </c>
      <c r="Z8" s="61">
        <v>4</v>
      </c>
      <c r="AA8" s="62">
        <v>1.5329999999999999</v>
      </c>
    </row>
    <row r="9" spans="1:28" ht="25" thickBot="1">
      <c r="A9" s="66" t="s">
        <v>72</v>
      </c>
      <c r="B9" s="106" t="s">
        <v>73</v>
      </c>
      <c r="C9" s="106" t="s">
        <v>74</v>
      </c>
      <c r="D9" s="157" t="s">
        <v>103</v>
      </c>
      <c r="E9" s="157" t="s">
        <v>104</v>
      </c>
      <c r="F9" s="157" t="s">
        <v>105</v>
      </c>
      <c r="G9" s="106" t="s">
        <v>111</v>
      </c>
      <c r="H9" s="106" t="s">
        <v>110</v>
      </c>
      <c r="I9" s="157" t="s">
        <v>106</v>
      </c>
      <c r="J9" s="157" t="s">
        <v>107</v>
      </c>
      <c r="K9" s="106" t="s">
        <v>108</v>
      </c>
      <c r="L9" s="106" t="s">
        <v>109</v>
      </c>
      <c r="O9" s="68" t="s">
        <v>16</v>
      </c>
      <c r="P9" s="157" t="s">
        <v>124</v>
      </c>
      <c r="Q9" s="242" t="s">
        <v>125</v>
      </c>
      <c r="R9" s="67" t="s">
        <v>34</v>
      </c>
      <c r="S9" s="69" t="str">
        <f>A9</f>
        <v>Return Year</v>
      </c>
      <c r="T9" s="27" t="s">
        <v>23</v>
      </c>
      <c r="V9" s="28" t="s">
        <v>64</v>
      </c>
      <c r="W9" s="27" t="s">
        <v>52</v>
      </c>
      <c r="X9" s="27" t="s">
        <v>53</v>
      </c>
      <c r="Y9" s="123"/>
      <c r="Z9" s="61">
        <v>5</v>
      </c>
      <c r="AA9" s="62">
        <v>1.476</v>
      </c>
      <c r="AB9" s="27"/>
    </row>
    <row r="10" spans="1:28">
      <c r="A10" s="31">
        <v>1970</v>
      </c>
      <c r="B10" s="31"/>
      <c r="C10" s="31"/>
      <c r="D10" s="71"/>
      <c r="E10" s="71"/>
      <c r="F10" s="35">
        <v>13966</v>
      </c>
      <c r="G10" s="14"/>
      <c r="H10" s="35">
        <v>5632</v>
      </c>
      <c r="I10" s="71"/>
      <c r="J10" s="71"/>
      <c r="K10" s="14"/>
      <c r="L10" s="33">
        <v>1970</v>
      </c>
      <c r="M10" s="234"/>
      <c r="O10" s="72">
        <v>230661</v>
      </c>
      <c r="P10" s="238">
        <v>61550</v>
      </c>
      <c r="Q10" s="218">
        <v>0</v>
      </c>
      <c r="R10" s="13">
        <f>SUM(O10:P10)</f>
        <v>292211</v>
      </c>
      <c r="S10" s="74">
        <f>A10</f>
        <v>1970</v>
      </c>
      <c r="T10" s="12">
        <f>RANK($R10,$R$10:$R$54)</f>
        <v>41</v>
      </c>
      <c r="U10" s="12"/>
      <c r="V10" s="12"/>
      <c r="Z10" s="61">
        <v>7</v>
      </c>
      <c r="AA10" s="62">
        <v>1.415</v>
      </c>
    </row>
    <row r="11" spans="1:28">
      <c r="A11" s="31">
        <v>1971</v>
      </c>
      <c r="B11" s="31"/>
      <c r="C11" s="31"/>
      <c r="D11" s="71"/>
      <c r="E11" s="71"/>
      <c r="F11" s="35">
        <v>52829</v>
      </c>
      <c r="G11" s="14"/>
      <c r="H11" s="35">
        <v>0</v>
      </c>
      <c r="I11" s="71"/>
      <c r="J11" s="71"/>
      <c r="K11" s="14"/>
      <c r="L11" s="33">
        <v>1971</v>
      </c>
      <c r="M11" s="234"/>
      <c r="O11" s="72">
        <v>574265</v>
      </c>
      <c r="P11" s="239">
        <v>109770</v>
      </c>
      <c r="Q11" s="218">
        <v>0</v>
      </c>
      <c r="R11" s="13">
        <f t="shared" ref="R11:R54" si="0">SUM(O11:P11)</f>
        <v>684035</v>
      </c>
      <c r="S11" s="74">
        <f t="shared" ref="S11:S47" si="1">A11</f>
        <v>1971</v>
      </c>
      <c r="T11" s="12">
        <f t="shared" ref="T11:T51" si="2">RANK($R11,$R$10:$R$54)</f>
        <v>16</v>
      </c>
      <c r="U11" s="12"/>
      <c r="V11" s="13">
        <f>R10</f>
        <v>292211</v>
      </c>
      <c r="W11" s="119">
        <f>(V11-R11)^2</f>
        <v>153526046976</v>
      </c>
      <c r="X11" s="120">
        <f>(V11-R11)/R11</f>
        <v>-0.57281279466693957</v>
      </c>
      <c r="Y11" s="124">
        <f t="shared" ref="Y11:Y46" si="3">A11</f>
        <v>1971</v>
      </c>
      <c r="Z11" s="61">
        <v>8</v>
      </c>
      <c r="AA11" s="62">
        <v>1.397</v>
      </c>
      <c r="AB11" s="75"/>
    </row>
    <row r="12" spans="1:28">
      <c r="A12" s="31">
        <v>1972</v>
      </c>
      <c r="B12" s="31"/>
      <c r="C12" s="31"/>
      <c r="D12" s="71"/>
      <c r="E12" s="71"/>
      <c r="F12" s="35">
        <v>18503</v>
      </c>
      <c r="G12" s="14"/>
      <c r="H12" s="35">
        <v>26008</v>
      </c>
      <c r="I12" s="71"/>
      <c r="J12" s="71"/>
      <c r="K12" s="14"/>
      <c r="L12" s="33">
        <v>1972</v>
      </c>
      <c r="M12" s="234"/>
      <c r="O12" s="72">
        <v>45370</v>
      </c>
      <c r="P12" s="239">
        <v>269190</v>
      </c>
      <c r="Q12" s="218">
        <v>0</v>
      </c>
      <c r="R12" s="13">
        <f t="shared" si="0"/>
        <v>314560</v>
      </c>
      <c r="S12" s="74">
        <f t="shared" si="1"/>
        <v>1972</v>
      </c>
      <c r="T12" s="12">
        <f t="shared" si="2"/>
        <v>38</v>
      </c>
      <c r="U12" s="12"/>
      <c r="V12" s="13">
        <f t="shared" ref="V12:V51" si="4">R11</f>
        <v>684035</v>
      </c>
      <c r="W12" s="119">
        <f t="shared" ref="W12:W49" si="5">(V12-R12)^2</f>
        <v>136511775625</v>
      </c>
      <c r="X12" s="120">
        <f>(V12-R12)/R12</f>
        <v>1.1745771871820956</v>
      </c>
      <c r="Y12" s="124">
        <f t="shared" si="3"/>
        <v>1972</v>
      </c>
      <c r="Z12" s="61">
        <v>9</v>
      </c>
      <c r="AA12" s="62">
        <v>1.383</v>
      </c>
      <c r="AB12" s="75"/>
    </row>
    <row r="13" spans="1:28">
      <c r="A13" s="31">
        <v>1973</v>
      </c>
      <c r="B13" s="31"/>
      <c r="C13" s="31"/>
      <c r="D13" s="71"/>
      <c r="E13" s="71"/>
      <c r="F13" s="35">
        <v>139728</v>
      </c>
      <c r="G13" s="14"/>
      <c r="H13" s="35">
        <v>27546</v>
      </c>
      <c r="I13" s="71"/>
      <c r="J13" s="71"/>
      <c r="K13" s="14"/>
      <c r="L13" s="33">
        <v>1973</v>
      </c>
      <c r="M13" s="234"/>
      <c r="O13" s="72">
        <v>729839</v>
      </c>
      <c r="P13" s="239">
        <v>491270</v>
      </c>
      <c r="Q13" s="218">
        <v>0</v>
      </c>
      <c r="R13" s="13">
        <f t="shared" si="0"/>
        <v>1221109</v>
      </c>
      <c r="S13" s="74">
        <f t="shared" si="1"/>
        <v>1973</v>
      </c>
      <c r="T13" s="12">
        <f t="shared" si="2"/>
        <v>9</v>
      </c>
      <c r="U13" s="12"/>
      <c r="V13" s="13">
        <f t="shared" si="4"/>
        <v>314560</v>
      </c>
      <c r="W13" s="119">
        <f t="shared" si="5"/>
        <v>821831089401</v>
      </c>
      <c r="X13" s="120">
        <f t="shared" ref="X13:X49" si="6">(V13-R13)/R13</f>
        <v>-0.7423980987774228</v>
      </c>
      <c r="Y13" s="124">
        <f t="shared" si="3"/>
        <v>1973</v>
      </c>
      <c r="Z13" s="61">
        <v>10</v>
      </c>
      <c r="AA13" s="62">
        <v>1.3720000000000001</v>
      </c>
      <c r="AB13" s="75"/>
    </row>
    <row r="14" spans="1:28" ht="13" thickBot="1">
      <c r="A14" s="31">
        <v>1974</v>
      </c>
      <c r="B14" s="31"/>
      <c r="C14" s="31"/>
      <c r="D14" s="71"/>
      <c r="E14" s="71"/>
      <c r="F14" s="35">
        <v>59148</v>
      </c>
      <c r="G14" s="14"/>
      <c r="H14" s="35">
        <v>0</v>
      </c>
      <c r="I14" s="71"/>
      <c r="J14" s="71"/>
      <c r="K14" s="14"/>
      <c r="L14" s="33">
        <v>1974</v>
      </c>
      <c r="M14" s="234"/>
      <c r="O14" s="72">
        <v>88544</v>
      </c>
      <c r="P14" s="240">
        <v>166900</v>
      </c>
      <c r="Q14" s="218">
        <v>0</v>
      </c>
      <c r="R14" s="13">
        <f t="shared" si="0"/>
        <v>255444</v>
      </c>
      <c r="S14" s="74">
        <f t="shared" si="1"/>
        <v>1974</v>
      </c>
      <c r="T14" s="12">
        <f t="shared" si="2"/>
        <v>44</v>
      </c>
      <c r="U14" s="12"/>
      <c r="V14" s="13">
        <f t="shared" si="4"/>
        <v>1221109</v>
      </c>
      <c r="W14" s="119">
        <f t="shared" si="5"/>
        <v>932508892225</v>
      </c>
      <c r="X14" s="120">
        <f t="shared" si="6"/>
        <v>3.7803393307339377</v>
      </c>
      <c r="Y14" s="124">
        <f t="shared" si="3"/>
        <v>1974</v>
      </c>
      <c r="Z14" s="61">
        <v>11</v>
      </c>
      <c r="AA14" s="62">
        <v>1.363</v>
      </c>
      <c r="AB14" s="75"/>
    </row>
    <row r="15" spans="1:28" ht="13.5" customHeight="1">
      <c r="A15" s="31">
        <v>1975</v>
      </c>
      <c r="B15" s="31"/>
      <c r="C15" s="31"/>
      <c r="D15" s="71"/>
      <c r="E15" s="71"/>
      <c r="F15" s="35">
        <v>34999</v>
      </c>
      <c r="G15" s="14"/>
      <c r="H15" s="35">
        <v>0</v>
      </c>
      <c r="I15" s="246" t="s">
        <v>5</v>
      </c>
      <c r="K15" s="14"/>
      <c r="L15" s="33">
        <v>1975</v>
      </c>
      <c r="M15" s="234"/>
      <c r="O15" s="72">
        <v>100479</v>
      </c>
      <c r="P15" s="235">
        <v>25025.71428571429</v>
      </c>
      <c r="Q15" s="218">
        <v>134</v>
      </c>
      <c r="R15" s="13">
        <f t="shared" si="0"/>
        <v>125504.71428571429</v>
      </c>
      <c r="S15" s="74">
        <f t="shared" si="1"/>
        <v>1975</v>
      </c>
      <c r="T15" s="12">
        <f t="shared" si="2"/>
        <v>45</v>
      </c>
      <c r="U15" s="12"/>
      <c r="V15" s="13">
        <f t="shared" si="4"/>
        <v>255444</v>
      </c>
      <c r="W15" s="119">
        <f t="shared" si="5"/>
        <v>16884217971.938774</v>
      </c>
      <c r="X15" s="120">
        <f t="shared" si="6"/>
        <v>1.0353339032227589</v>
      </c>
      <c r="Y15" s="124">
        <f t="shared" si="3"/>
        <v>1975</v>
      </c>
      <c r="Z15" s="61">
        <v>12</v>
      </c>
      <c r="AA15" s="62">
        <v>1.3560000000000001</v>
      </c>
      <c r="AB15" s="75"/>
    </row>
    <row r="16" spans="1:28">
      <c r="A16" s="31">
        <v>1976</v>
      </c>
      <c r="B16" s="31"/>
      <c r="C16" s="31"/>
      <c r="D16" s="71"/>
      <c r="E16" s="71"/>
      <c r="F16" s="35">
        <v>166803</v>
      </c>
      <c r="G16" s="14"/>
      <c r="H16" s="35">
        <v>0</v>
      </c>
      <c r="I16" s="71"/>
      <c r="J16" s="71"/>
      <c r="K16" s="14"/>
      <c r="L16" s="33">
        <v>1976</v>
      </c>
      <c r="M16" s="234"/>
      <c r="O16" s="72">
        <v>370478</v>
      </c>
      <c r="P16" s="236">
        <v>90444.920634920636</v>
      </c>
      <c r="Q16" s="218">
        <v>852</v>
      </c>
      <c r="R16" s="13">
        <f t="shared" si="0"/>
        <v>460922.92063492065</v>
      </c>
      <c r="S16" s="74">
        <f t="shared" si="1"/>
        <v>1976</v>
      </c>
      <c r="T16" s="12">
        <f t="shared" si="2"/>
        <v>29</v>
      </c>
      <c r="U16" s="12"/>
      <c r="V16" s="13">
        <f t="shared" si="4"/>
        <v>125504.71428571429</v>
      </c>
      <c r="W16" s="119">
        <f t="shared" si="5"/>
        <v>112505373150.5188</v>
      </c>
      <c r="X16" s="120">
        <f t="shared" si="6"/>
        <v>-0.72770997347488886</v>
      </c>
      <c r="Y16" s="124">
        <f t="shared" si="3"/>
        <v>1976</v>
      </c>
      <c r="Z16" s="61">
        <v>13</v>
      </c>
      <c r="AA16" s="62">
        <v>1.35</v>
      </c>
      <c r="AB16" s="75"/>
    </row>
    <row r="17" spans="1:28">
      <c r="A17" s="31">
        <v>1977</v>
      </c>
      <c r="B17" s="31"/>
      <c r="C17" s="31"/>
      <c r="D17" s="71"/>
      <c r="E17" s="71"/>
      <c r="F17" s="35">
        <v>164575</v>
      </c>
      <c r="G17" s="14"/>
      <c r="H17" s="35">
        <v>12562</v>
      </c>
      <c r="I17" s="71"/>
      <c r="J17" s="71"/>
      <c r="K17" s="14"/>
      <c r="L17" s="33">
        <v>1977</v>
      </c>
      <c r="M17" s="234"/>
      <c r="O17" s="72">
        <v>575839</v>
      </c>
      <c r="P17" s="236">
        <v>122237.18253968254</v>
      </c>
      <c r="Q17" s="243">
        <f>AVERAGE(Q12:Q16)</f>
        <v>197.2</v>
      </c>
      <c r="R17" s="13">
        <f t="shared" si="0"/>
        <v>698076.1825396826</v>
      </c>
      <c r="S17" s="74">
        <f t="shared" si="1"/>
        <v>1977</v>
      </c>
      <c r="T17" s="12">
        <f t="shared" si="2"/>
        <v>15</v>
      </c>
      <c r="U17" s="12"/>
      <c r="V17" s="13">
        <f t="shared" si="4"/>
        <v>460922.92063492065</v>
      </c>
      <c r="W17" s="119">
        <f t="shared" si="5"/>
        <v>56241669632.068619</v>
      </c>
      <c r="X17" s="120">
        <f t="shared" si="6"/>
        <v>-0.33972404135315248</v>
      </c>
      <c r="Y17" s="124">
        <f t="shared" si="3"/>
        <v>1977</v>
      </c>
      <c r="Z17" s="61">
        <v>14</v>
      </c>
      <c r="AA17" s="62">
        <v>1.345</v>
      </c>
      <c r="AB17" s="75"/>
    </row>
    <row r="18" spans="1:28" ht="10.5" customHeight="1">
      <c r="A18" s="31">
        <v>1978</v>
      </c>
      <c r="C18" s="31"/>
      <c r="D18" s="71"/>
      <c r="E18" s="71"/>
      <c r="F18" s="35">
        <v>124686</v>
      </c>
      <c r="G18" s="14"/>
      <c r="H18" s="35">
        <v>0</v>
      </c>
      <c r="I18" s="71"/>
      <c r="J18" s="71"/>
      <c r="K18" s="14"/>
      <c r="L18" s="33">
        <v>1978</v>
      </c>
      <c r="M18" s="234"/>
      <c r="O18" s="72">
        <v>485147</v>
      </c>
      <c r="P18" s="236">
        <v>178950.94444444444</v>
      </c>
      <c r="Q18" s="218">
        <v>202</v>
      </c>
      <c r="R18" s="13">
        <f t="shared" si="0"/>
        <v>664097.9444444445</v>
      </c>
      <c r="S18" s="74">
        <f t="shared" si="1"/>
        <v>1978</v>
      </c>
      <c r="T18" s="12">
        <f t="shared" si="2"/>
        <v>17</v>
      </c>
      <c r="U18" s="12"/>
      <c r="V18" s="13">
        <f t="shared" si="4"/>
        <v>698076.1825396826</v>
      </c>
      <c r="W18" s="119">
        <f t="shared" si="5"/>
        <v>1154520664.05669</v>
      </c>
      <c r="X18" s="120">
        <f t="shared" si="6"/>
        <v>5.1164498218200065E-2</v>
      </c>
      <c r="Y18" s="124">
        <f t="shared" si="3"/>
        <v>1978</v>
      </c>
      <c r="Z18" s="61">
        <v>15</v>
      </c>
      <c r="AA18" s="62">
        <v>1.341</v>
      </c>
      <c r="AB18" s="75"/>
    </row>
    <row r="19" spans="1:28">
      <c r="A19" s="31">
        <v>1979</v>
      </c>
      <c r="B19" s="31"/>
      <c r="C19" s="31"/>
      <c r="D19" s="71"/>
      <c r="E19" s="71"/>
      <c r="F19" s="35">
        <v>62625</v>
      </c>
      <c r="G19" s="14"/>
      <c r="H19" s="35">
        <v>0</v>
      </c>
      <c r="I19" s="71"/>
      <c r="J19" s="71"/>
      <c r="K19" s="14"/>
      <c r="L19" s="33">
        <v>1979</v>
      </c>
      <c r="M19" s="234"/>
      <c r="O19" s="72">
        <v>324040</v>
      </c>
      <c r="P19" s="236">
        <v>61014.206349206353</v>
      </c>
      <c r="Q19" s="218">
        <v>828</v>
      </c>
      <c r="R19" s="13">
        <f t="shared" si="0"/>
        <v>385054.20634920633</v>
      </c>
      <c r="S19" s="74">
        <f t="shared" si="1"/>
        <v>1979</v>
      </c>
      <c r="T19" s="12">
        <f t="shared" si="2"/>
        <v>36</v>
      </c>
      <c r="U19" s="12"/>
      <c r="V19" s="13">
        <f t="shared" si="4"/>
        <v>664097.9444444445</v>
      </c>
      <c r="W19" s="119">
        <f t="shared" si="5"/>
        <v>77865407770.163864</v>
      </c>
      <c r="X19" s="120">
        <f t="shared" si="6"/>
        <v>0.72468689730965541</v>
      </c>
      <c r="Y19" s="124">
        <f t="shared" si="3"/>
        <v>1979</v>
      </c>
      <c r="Z19" s="61">
        <v>16</v>
      </c>
      <c r="AA19" s="62">
        <v>1.337</v>
      </c>
      <c r="AB19" s="75"/>
    </row>
    <row r="20" spans="1:28">
      <c r="A20" s="31">
        <v>1980</v>
      </c>
      <c r="B20" s="31"/>
      <c r="C20" s="31"/>
      <c r="D20" s="71"/>
      <c r="E20" s="71"/>
      <c r="F20" s="35">
        <v>72773</v>
      </c>
      <c r="G20" s="14"/>
      <c r="H20" s="35">
        <v>264</v>
      </c>
      <c r="I20" s="71"/>
      <c r="J20" s="71"/>
      <c r="K20" s="14"/>
      <c r="L20" s="33">
        <v>1980</v>
      </c>
      <c r="M20" s="234"/>
      <c r="O20" s="72">
        <v>412948</v>
      </c>
      <c r="P20" s="236">
        <v>76309.404761904749</v>
      </c>
      <c r="Q20" s="218">
        <v>924</v>
      </c>
      <c r="R20" s="13">
        <f t="shared" si="0"/>
        <v>489257.40476190473</v>
      </c>
      <c r="S20" s="74">
        <f t="shared" si="1"/>
        <v>1980</v>
      </c>
      <c r="T20" s="12">
        <f t="shared" si="2"/>
        <v>24</v>
      </c>
      <c r="U20" s="12"/>
      <c r="V20" s="13">
        <f t="shared" si="4"/>
        <v>385054.20634920633</v>
      </c>
      <c r="W20" s="119">
        <f t="shared" si="5"/>
        <v>10858306559.436192</v>
      </c>
      <c r="X20" s="120">
        <f t="shared" si="6"/>
        <v>-0.21298236347267652</v>
      </c>
      <c r="Y20" s="124">
        <f t="shared" si="3"/>
        <v>1980</v>
      </c>
      <c r="Z20" s="61">
        <v>17</v>
      </c>
      <c r="AA20" s="62">
        <v>1.333</v>
      </c>
      <c r="AB20" s="75"/>
    </row>
    <row r="21" spans="1:28">
      <c r="A21" s="31">
        <v>1981</v>
      </c>
      <c r="B21" s="31"/>
      <c r="C21" s="31"/>
      <c r="D21" s="71"/>
      <c r="E21" s="71"/>
      <c r="F21" s="35">
        <v>154777</v>
      </c>
      <c r="G21" s="14"/>
      <c r="H21" s="35">
        <v>0</v>
      </c>
      <c r="I21" s="71"/>
      <c r="J21" s="71"/>
      <c r="K21" s="14"/>
      <c r="L21" s="33">
        <v>1981</v>
      </c>
      <c r="M21" s="234"/>
      <c r="O21" s="72">
        <v>1745869</v>
      </c>
      <c r="P21" s="236">
        <v>132340.95238095237</v>
      </c>
      <c r="Q21" s="218">
        <v>1201</v>
      </c>
      <c r="R21" s="13">
        <f t="shared" si="0"/>
        <v>1878209.9523809524</v>
      </c>
      <c r="S21" s="74">
        <f t="shared" si="1"/>
        <v>1981</v>
      </c>
      <c r="T21" s="12">
        <f t="shared" si="2"/>
        <v>4</v>
      </c>
      <c r="U21" s="12"/>
      <c r="V21" s="13">
        <f t="shared" si="4"/>
        <v>489257.40476190473</v>
      </c>
      <c r="W21" s="119">
        <f t="shared" si="5"/>
        <v>1929189179537.4426</v>
      </c>
      <c r="X21" s="120">
        <f t="shared" si="6"/>
        <v>-0.73950867199820369</v>
      </c>
      <c r="Y21" s="124">
        <f t="shared" si="3"/>
        <v>1981</v>
      </c>
      <c r="Z21" s="61">
        <v>18</v>
      </c>
      <c r="AA21" s="62">
        <v>1.33</v>
      </c>
      <c r="AB21" s="75"/>
    </row>
    <row r="22" spans="1:28">
      <c r="A22" s="31">
        <v>1982</v>
      </c>
      <c r="B22" s="31"/>
      <c r="C22" s="31"/>
      <c r="D22" s="71"/>
      <c r="E22" s="71"/>
      <c r="F22" s="35">
        <v>387630</v>
      </c>
      <c r="G22" s="14"/>
      <c r="H22" s="35">
        <v>0</v>
      </c>
      <c r="I22" s="71"/>
      <c r="J22" s="71"/>
      <c r="K22" s="14"/>
      <c r="L22" s="33">
        <v>1982</v>
      </c>
      <c r="M22" s="234"/>
      <c r="O22" s="72">
        <v>1335368</v>
      </c>
      <c r="P22" s="236">
        <v>242634.12698412704</v>
      </c>
      <c r="Q22" s="218">
        <v>200</v>
      </c>
      <c r="R22" s="13">
        <f t="shared" si="0"/>
        <v>1578002.1269841271</v>
      </c>
      <c r="S22" s="74">
        <f t="shared" si="1"/>
        <v>1982</v>
      </c>
      <c r="T22" s="12">
        <f t="shared" si="2"/>
        <v>5</v>
      </c>
      <c r="U22" s="12"/>
      <c r="V22" s="13">
        <f t="shared" si="4"/>
        <v>1878209.9523809524</v>
      </c>
      <c r="W22" s="119">
        <f t="shared" si="5"/>
        <v>90124738429.490768</v>
      </c>
      <c r="X22" s="120">
        <f t="shared" si="6"/>
        <v>0.19024551378177265</v>
      </c>
      <c r="Y22" s="124">
        <f t="shared" si="3"/>
        <v>1982</v>
      </c>
      <c r="Z22" s="61">
        <v>19</v>
      </c>
      <c r="AA22" s="62">
        <v>1.3280000000000001</v>
      </c>
      <c r="AB22" s="75"/>
    </row>
    <row r="23" spans="1:28">
      <c r="A23" s="31">
        <v>1983</v>
      </c>
      <c r="B23" s="31"/>
      <c r="C23" s="31"/>
      <c r="D23" s="71"/>
      <c r="E23" s="71"/>
      <c r="F23" s="35">
        <v>242980</v>
      </c>
      <c r="G23" s="14"/>
      <c r="H23" s="35">
        <v>6183</v>
      </c>
      <c r="I23" s="71"/>
      <c r="J23" s="71"/>
      <c r="K23" s="14"/>
      <c r="L23" s="33">
        <v>1983</v>
      </c>
      <c r="M23" s="234"/>
      <c r="O23" s="72">
        <v>1030546</v>
      </c>
      <c r="P23" s="236">
        <v>323864.72222222225</v>
      </c>
      <c r="Q23" s="218">
        <v>505</v>
      </c>
      <c r="R23" s="13">
        <f t="shared" si="0"/>
        <v>1354410.7222222222</v>
      </c>
      <c r="S23" s="74">
        <f t="shared" si="1"/>
        <v>1983</v>
      </c>
      <c r="T23" s="12">
        <f t="shared" si="2"/>
        <v>8</v>
      </c>
      <c r="U23" s="12"/>
      <c r="V23" s="13">
        <f t="shared" si="4"/>
        <v>1578002.1269841271</v>
      </c>
      <c r="W23" s="119">
        <f t="shared" si="5"/>
        <v>49993116283.40197</v>
      </c>
      <c r="X23" s="120">
        <f t="shared" si="6"/>
        <v>0.16508390039548101</v>
      </c>
      <c r="Y23" s="124">
        <f t="shared" si="3"/>
        <v>1983</v>
      </c>
      <c r="Z23" s="61">
        <v>20</v>
      </c>
      <c r="AA23" s="62">
        <v>1.325</v>
      </c>
      <c r="AB23" s="75"/>
    </row>
    <row r="24" spans="1:28">
      <c r="A24" s="31">
        <v>1984</v>
      </c>
      <c r="B24" s="31"/>
      <c r="C24" s="31"/>
      <c r="D24" s="71"/>
      <c r="E24" s="71"/>
      <c r="F24" s="35">
        <v>266004</v>
      </c>
      <c r="G24" s="14"/>
      <c r="H24" s="35">
        <v>18451</v>
      </c>
      <c r="I24" s="71"/>
      <c r="J24" s="71"/>
      <c r="K24" s="14"/>
      <c r="L24" s="33">
        <v>1984</v>
      </c>
      <c r="M24" s="234"/>
      <c r="O24" s="72">
        <v>1196785</v>
      </c>
      <c r="P24" s="236">
        <v>191112.30158730157</v>
      </c>
      <c r="Q24" s="218">
        <v>1949</v>
      </c>
      <c r="R24" s="13">
        <f t="shared" si="0"/>
        <v>1387897.3015873015</v>
      </c>
      <c r="S24" s="74">
        <f t="shared" si="1"/>
        <v>1984</v>
      </c>
      <c r="T24" s="12">
        <f t="shared" si="2"/>
        <v>7</v>
      </c>
      <c r="U24" s="12"/>
      <c r="V24" s="13">
        <f t="shared" si="4"/>
        <v>1354410.7222222222</v>
      </c>
      <c r="W24" s="119">
        <f t="shared" si="5"/>
        <v>1121350997.5737541</v>
      </c>
      <c r="X24" s="120">
        <f t="shared" si="6"/>
        <v>-2.4127562844009836E-2</v>
      </c>
      <c r="Y24" s="124">
        <f t="shared" si="3"/>
        <v>1984</v>
      </c>
      <c r="Z24" s="61">
        <v>21</v>
      </c>
      <c r="AA24" s="62">
        <v>1.323</v>
      </c>
      <c r="AB24" s="75"/>
    </row>
    <row r="25" spans="1:28">
      <c r="A25" s="31">
        <v>1985</v>
      </c>
      <c r="B25" s="31"/>
      <c r="C25" s="31"/>
      <c r="D25" s="71"/>
      <c r="E25" s="71"/>
      <c r="F25" s="35">
        <v>266154</v>
      </c>
      <c r="G25" s="14"/>
      <c r="H25" s="35">
        <v>2316</v>
      </c>
      <c r="I25" s="71"/>
      <c r="J25" s="71"/>
      <c r="K25" s="14"/>
      <c r="L25" s="33">
        <v>1985</v>
      </c>
      <c r="M25" s="234"/>
      <c r="O25" s="72">
        <v>1302090</v>
      </c>
      <c r="P25" s="236">
        <v>93787.460317460325</v>
      </c>
      <c r="Q25" s="218">
        <v>214</v>
      </c>
      <c r="R25" s="13">
        <f t="shared" si="0"/>
        <v>1395877.4603174604</v>
      </c>
      <c r="S25" s="74">
        <f t="shared" si="1"/>
        <v>1985</v>
      </c>
      <c r="T25" s="12">
        <f t="shared" si="2"/>
        <v>6</v>
      </c>
      <c r="U25" s="12"/>
      <c r="V25" s="13">
        <f t="shared" si="4"/>
        <v>1387897.3015873015</v>
      </c>
      <c r="W25" s="119">
        <f t="shared" si="5"/>
        <v>63682933.358529955</v>
      </c>
      <c r="X25" s="120">
        <f t="shared" si="6"/>
        <v>-5.7169479105593632E-3</v>
      </c>
      <c r="Y25" s="124">
        <f t="shared" si="3"/>
        <v>1985</v>
      </c>
      <c r="Z25" s="61">
        <v>22</v>
      </c>
      <c r="AA25" s="62">
        <v>1.321</v>
      </c>
      <c r="AB25" s="75"/>
    </row>
    <row r="26" spans="1:28">
      <c r="A26" s="34">
        <v>1986</v>
      </c>
      <c r="B26" s="34"/>
      <c r="C26" s="34"/>
      <c r="D26" s="77"/>
      <c r="E26" s="77"/>
      <c r="F26" s="200">
        <v>246049</v>
      </c>
      <c r="G26" s="78"/>
      <c r="H26" s="200">
        <v>5829</v>
      </c>
      <c r="I26" s="77"/>
      <c r="J26" s="77"/>
      <c r="K26" s="78"/>
      <c r="L26" s="199">
        <v>1986</v>
      </c>
      <c r="M26" s="234"/>
      <c r="O26" s="72">
        <v>1662366</v>
      </c>
      <c r="P26" s="237">
        <v>266264.68253968254</v>
      </c>
      <c r="Q26" s="218">
        <v>252</v>
      </c>
      <c r="R26" s="13">
        <f t="shared" si="0"/>
        <v>1928630.6825396826</v>
      </c>
      <c r="S26" s="74">
        <f t="shared" si="1"/>
        <v>1986</v>
      </c>
      <c r="T26" s="12">
        <f t="shared" si="2"/>
        <v>2</v>
      </c>
      <c r="U26" s="12"/>
      <c r="V26" s="13">
        <f t="shared" si="4"/>
        <v>1395877.4603174604</v>
      </c>
      <c r="W26" s="119">
        <f t="shared" si="5"/>
        <v>283825995788.16052</v>
      </c>
      <c r="X26" s="120">
        <f t="shared" si="6"/>
        <v>-0.27623392443423939</v>
      </c>
      <c r="Y26" s="124">
        <f t="shared" si="3"/>
        <v>1986</v>
      </c>
      <c r="Z26" s="61">
        <v>23</v>
      </c>
      <c r="AA26" s="62">
        <v>1.319</v>
      </c>
      <c r="AB26" s="75"/>
    </row>
    <row r="27" spans="1:28">
      <c r="A27" s="31">
        <v>1987</v>
      </c>
      <c r="B27" s="107"/>
      <c r="C27" s="107"/>
      <c r="D27" s="71">
        <v>843084</v>
      </c>
      <c r="E27" s="71">
        <v>364725</v>
      </c>
      <c r="F27" s="14">
        <v>145542.88235294117</v>
      </c>
      <c r="G27" s="14">
        <v>71116</v>
      </c>
      <c r="H27" s="14">
        <v>6164.1764705882351</v>
      </c>
      <c r="I27" s="71">
        <v>150227</v>
      </c>
      <c r="J27" s="71">
        <v>1754</v>
      </c>
      <c r="K27" s="14">
        <v>32881</v>
      </c>
      <c r="L27" s="14">
        <v>1356</v>
      </c>
      <c r="M27" s="234"/>
      <c r="O27" s="72">
        <f>SUM(B27:L27)</f>
        <v>1616850.0588235294</v>
      </c>
      <c r="P27" s="232">
        <v>331878.65079365083</v>
      </c>
      <c r="Q27" s="218">
        <v>287</v>
      </c>
      <c r="R27" s="13">
        <f t="shared" si="0"/>
        <v>1948728.7096171803</v>
      </c>
      <c r="S27" s="74">
        <f t="shared" si="1"/>
        <v>1987</v>
      </c>
      <c r="T27" s="12">
        <f t="shared" si="2"/>
        <v>1</v>
      </c>
      <c r="U27" s="12"/>
      <c r="V27" s="13">
        <f t="shared" si="4"/>
        <v>1928630.6825396826</v>
      </c>
      <c r="W27" s="119">
        <f t="shared" si="5"/>
        <v>403930692.40783</v>
      </c>
      <c r="X27" s="120">
        <f t="shared" si="6"/>
        <v>-1.0313404312417533E-2</v>
      </c>
      <c r="Y27" s="124">
        <f t="shared" si="3"/>
        <v>1987</v>
      </c>
      <c r="Z27" s="61">
        <v>24</v>
      </c>
      <c r="AA27" s="62">
        <v>1.3180000000000001</v>
      </c>
      <c r="AB27" s="75"/>
    </row>
    <row r="28" spans="1:28">
      <c r="A28" s="31">
        <v>1988</v>
      </c>
      <c r="B28" s="107"/>
      <c r="C28" s="107"/>
      <c r="D28" s="71">
        <v>810628</v>
      </c>
      <c r="E28" s="71">
        <v>199487</v>
      </c>
      <c r="F28" s="14">
        <v>145542.88235294117</v>
      </c>
      <c r="G28" s="14">
        <v>14083</v>
      </c>
      <c r="H28" s="14">
        <v>6164.1764705882351</v>
      </c>
      <c r="I28" s="71">
        <v>64568</v>
      </c>
      <c r="J28" s="71">
        <v>0</v>
      </c>
      <c r="K28" s="14">
        <v>2479</v>
      </c>
      <c r="L28" s="14">
        <v>22490</v>
      </c>
      <c r="M28" s="234"/>
      <c r="O28" s="72">
        <f t="shared" ref="O28:O54" si="7">SUM(B28:L28)</f>
        <v>1265442.0588235294</v>
      </c>
      <c r="P28" s="232">
        <v>626565.87301587302</v>
      </c>
      <c r="Q28" s="218">
        <v>368</v>
      </c>
      <c r="R28" s="13">
        <f t="shared" si="0"/>
        <v>1892007.9318394023</v>
      </c>
      <c r="S28" s="74">
        <f t="shared" si="1"/>
        <v>1988</v>
      </c>
      <c r="T28" s="12">
        <f t="shared" si="2"/>
        <v>3</v>
      </c>
      <c r="U28" s="12"/>
      <c r="V28" s="13">
        <f t="shared" si="4"/>
        <v>1948728.7096171803</v>
      </c>
      <c r="W28" s="119">
        <f t="shared" si="5"/>
        <v>3217246631.716073</v>
      </c>
      <c r="X28" s="120">
        <f t="shared" si="6"/>
        <v>2.9979143756883871E-2</v>
      </c>
      <c r="Y28" s="124">
        <f t="shared" si="3"/>
        <v>1988</v>
      </c>
      <c r="Z28" s="61">
        <v>25</v>
      </c>
      <c r="AA28" s="62">
        <v>1.3160000000000001</v>
      </c>
      <c r="AB28" s="75"/>
    </row>
    <row r="29" spans="1:28">
      <c r="A29" s="31">
        <v>1989</v>
      </c>
      <c r="B29" s="107"/>
      <c r="C29" s="107"/>
      <c r="D29" s="71">
        <v>333142</v>
      </c>
      <c r="E29" s="71">
        <v>193155</v>
      </c>
      <c r="F29" s="14">
        <v>145542.88235294117</v>
      </c>
      <c r="G29" s="14">
        <v>7862</v>
      </c>
      <c r="H29" s="14">
        <v>6164.1764705882351</v>
      </c>
      <c r="I29" s="71">
        <v>0</v>
      </c>
      <c r="J29" s="71">
        <v>0</v>
      </c>
      <c r="K29" s="14">
        <v>765</v>
      </c>
      <c r="L29" s="14">
        <v>404</v>
      </c>
      <c r="M29" s="234"/>
      <c r="O29" s="72">
        <f t="shared" si="7"/>
        <v>687035.0588235294</v>
      </c>
      <c r="P29" s="232">
        <v>278635.90476190479</v>
      </c>
      <c r="Q29" s="218">
        <v>636</v>
      </c>
      <c r="R29" s="13">
        <f t="shared" si="0"/>
        <v>965670.96358543425</v>
      </c>
      <c r="S29" s="74">
        <f t="shared" si="1"/>
        <v>1989</v>
      </c>
      <c r="T29" s="12">
        <f t="shared" si="2"/>
        <v>10</v>
      </c>
      <c r="U29" s="12"/>
      <c r="V29" s="13">
        <f t="shared" si="4"/>
        <v>1892007.9318394023</v>
      </c>
      <c r="W29" s="119">
        <f t="shared" si="5"/>
        <v>858100178753.953</v>
      </c>
      <c r="X29" s="120">
        <f t="shared" si="6"/>
        <v>0.95926770420286511</v>
      </c>
      <c r="Y29" s="124">
        <f t="shared" si="3"/>
        <v>1989</v>
      </c>
      <c r="Z29" s="61">
        <v>26</v>
      </c>
      <c r="AA29" s="62">
        <v>1.3149999999999999</v>
      </c>
      <c r="AB29" s="75"/>
    </row>
    <row r="30" spans="1:28">
      <c r="A30" s="31">
        <v>1990</v>
      </c>
      <c r="B30" s="107"/>
      <c r="C30" s="107"/>
      <c r="D30" s="71">
        <v>151658</v>
      </c>
      <c r="E30" s="71">
        <v>75443</v>
      </c>
      <c r="F30" s="14">
        <v>145542.88235294117</v>
      </c>
      <c r="G30" s="14">
        <v>4591</v>
      </c>
      <c r="H30" s="14">
        <v>6164.1764705882351</v>
      </c>
      <c r="I30" s="71">
        <v>27974</v>
      </c>
      <c r="J30" s="71">
        <v>3</v>
      </c>
      <c r="K30" s="14">
        <v>212</v>
      </c>
      <c r="L30" s="14">
        <v>23</v>
      </c>
      <c r="M30" s="234"/>
      <c r="O30" s="72">
        <f t="shared" si="7"/>
        <v>411611.05882352946</v>
      </c>
      <c r="P30" s="232">
        <v>316262.83333333331</v>
      </c>
      <c r="Q30" s="218">
        <v>117</v>
      </c>
      <c r="R30" s="13">
        <f t="shared" si="0"/>
        <v>727873.89215686277</v>
      </c>
      <c r="S30" s="74">
        <f t="shared" si="1"/>
        <v>1990</v>
      </c>
      <c r="T30" s="12">
        <f t="shared" si="2"/>
        <v>14</v>
      </c>
      <c r="U30" s="12"/>
      <c r="V30" s="13">
        <f t="shared" si="4"/>
        <v>965670.96358543425</v>
      </c>
      <c r="W30" s="119">
        <f t="shared" si="5"/>
        <v>56547447180.005127</v>
      </c>
      <c r="X30" s="120">
        <f t="shared" si="6"/>
        <v>0.3267009216719155</v>
      </c>
      <c r="Y30" s="124">
        <f t="shared" si="3"/>
        <v>1990</v>
      </c>
      <c r="Z30" s="61">
        <v>27</v>
      </c>
      <c r="AA30" s="62">
        <v>1.3140000000000001</v>
      </c>
      <c r="AB30" s="75"/>
    </row>
    <row r="31" spans="1:28">
      <c r="A31" s="32">
        <v>1991</v>
      </c>
      <c r="B31" s="108"/>
      <c r="C31" s="108"/>
      <c r="D31" s="79">
        <v>8584</v>
      </c>
      <c r="E31" s="79">
        <v>5344</v>
      </c>
      <c r="F31" s="36">
        <v>145542.88235294117</v>
      </c>
      <c r="G31" s="36">
        <v>0</v>
      </c>
      <c r="H31" s="36">
        <v>6164.1764705882351</v>
      </c>
      <c r="I31" s="79">
        <v>4572</v>
      </c>
      <c r="J31" s="79">
        <v>0</v>
      </c>
      <c r="K31" s="36">
        <v>0</v>
      </c>
      <c r="L31" s="36">
        <v>79</v>
      </c>
      <c r="M31" s="231"/>
      <c r="O31" s="72">
        <f t="shared" si="7"/>
        <v>170286.0588235294</v>
      </c>
      <c r="P31" s="232">
        <v>108499.02380952383</v>
      </c>
      <c r="Q31" s="219">
        <v>144</v>
      </c>
      <c r="R31" s="13">
        <f t="shared" si="0"/>
        <v>278785.08263305324</v>
      </c>
      <c r="S31" s="74">
        <f t="shared" si="1"/>
        <v>1991</v>
      </c>
      <c r="T31" s="12">
        <f t="shared" si="2"/>
        <v>42</v>
      </c>
      <c r="U31" s="12"/>
      <c r="V31" s="13">
        <f t="shared" si="4"/>
        <v>727873.89215686277</v>
      </c>
      <c r="W31" s="119">
        <f t="shared" si="5"/>
        <v>201680758839.51248</v>
      </c>
      <c r="X31" s="120">
        <f t="shared" si="6"/>
        <v>1.6108781907635856</v>
      </c>
      <c r="Y31" s="124">
        <f t="shared" si="3"/>
        <v>1991</v>
      </c>
      <c r="Z31" s="61">
        <v>28</v>
      </c>
      <c r="AA31" s="81">
        <v>1.3129999999999999</v>
      </c>
      <c r="AB31" s="75"/>
    </row>
    <row r="32" spans="1:28">
      <c r="A32" s="31">
        <v>1992</v>
      </c>
      <c r="B32" s="107"/>
      <c r="C32" s="107"/>
      <c r="D32" s="71">
        <v>5458</v>
      </c>
      <c r="E32" s="71">
        <v>14449</v>
      </c>
      <c r="F32" s="14">
        <v>145542.88235294117</v>
      </c>
      <c r="G32" s="14">
        <v>0</v>
      </c>
      <c r="H32" s="14">
        <v>6164.1764705882351</v>
      </c>
      <c r="I32" s="71">
        <v>7914</v>
      </c>
      <c r="J32" s="71">
        <v>0</v>
      </c>
      <c r="K32" s="14">
        <v>0</v>
      </c>
      <c r="L32" s="14">
        <v>213</v>
      </c>
      <c r="M32" s="231"/>
      <c r="O32" s="72">
        <f t="shared" si="7"/>
        <v>179741.0588235294</v>
      </c>
      <c r="P32" s="232">
        <v>91411.015873015873</v>
      </c>
      <c r="Q32" s="218">
        <v>61</v>
      </c>
      <c r="R32" s="13">
        <f t="shared" si="0"/>
        <v>271152.07469654526</v>
      </c>
      <c r="S32" s="74">
        <f t="shared" si="1"/>
        <v>1992</v>
      </c>
      <c r="T32" s="12">
        <f t="shared" si="2"/>
        <v>43</v>
      </c>
      <c r="U32" s="12"/>
      <c r="V32" s="13">
        <f t="shared" si="4"/>
        <v>278785.08263305324</v>
      </c>
      <c r="W32" s="119">
        <f t="shared" si="5"/>
        <v>58262810.158793926</v>
      </c>
      <c r="X32" s="120">
        <f t="shared" si="6"/>
        <v>2.8150284098140591E-2</v>
      </c>
      <c r="Y32" s="124">
        <f t="shared" si="3"/>
        <v>1992</v>
      </c>
      <c r="Z32" s="61">
        <v>29</v>
      </c>
      <c r="AA32" s="62">
        <v>1.3109999999999999</v>
      </c>
      <c r="AB32" s="75"/>
    </row>
    <row r="33" spans="1:28">
      <c r="A33" s="31">
        <v>1993</v>
      </c>
      <c r="B33" s="107"/>
      <c r="C33" s="107"/>
      <c r="D33" s="71">
        <v>0</v>
      </c>
      <c r="E33" s="71">
        <v>2154</v>
      </c>
      <c r="F33" s="14">
        <v>145542.88235294117</v>
      </c>
      <c r="G33" s="14">
        <v>0</v>
      </c>
      <c r="H33" s="14">
        <v>6164.1764705882351</v>
      </c>
      <c r="I33" s="71">
        <v>3592</v>
      </c>
      <c r="J33" s="71">
        <v>0</v>
      </c>
      <c r="K33" s="14">
        <v>0</v>
      </c>
      <c r="L33" s="14">
        <v>1045</v>
      </c>
      <c r="M33" s="231"/>
      <c r="O33" s="72">
        <f t="shared" si="7"/>
        <v>158498.0588235294</v>
      </c>
      <c r="P33" s="232">
        <v>136842.00793650793</v>
      </c>
      <c r="Q33" s="218">
        <v>51</v>
      </c>
      <c r="R33" s="13">
        <f t="shared" si="0"/>
        <v>295340.06676003733</v>
      </c>
      <c r="S33" s="74">
        <f t="shared" si="1"/>
        <v>1993</v>
      </c>
      <c r="T33" s="12">
        <f t="shared" si="2"/>
        <v>40</v>
      </c>
      <c r="U33" s="12"/>
      <c r="V33" s="13">
        <f t="shared" si="4"/>
        <v>271152.07469654526</v>
      </c>
      <c r="W33" s="119">
        <f t="shared" si="5"/>
        <v>585058960.06355536</v>
      </c>
      <c r="X33" s="120">
        <f t="shared" si="6"/>
        <v>-8.1898783083653601E-2</v>
      </c>
      <c r="Y33" s="124">
        <f t="shared" si="3"/>
        <v>1993</v>
      </c>
      <c r="Z33" s="61">
        <v>30</v>
      </c>
      <c r="AA33" s="62">
        <v>1.31</v>
      </c>
      <c r="AB33" s="75"/>
    </row>
    <row r="34" spans="1:28">
      <c r="A34" s="31">
        <v>1994</v>
      </c>
      <c r="B34" s="107"/>
      <c r="C34" s="107"/>
      <c r="D34" s="71">
        <v>39579</v>
      </c>
      <c r="E34" s="71">
        <v>26643</v>
      </c>
      <c r="F34" s="14">
        <v>145542.88235294117</v>
      </c>
      <c r="G34" s="11">
        <v>0</v>
      </c>
      <c r="H34" s="14">
        <v>6164.1764705882351</v>
      </c>
      <c r="I34" s="71">
        <v>9375</v>
      </c>
      <c r="J34" s="71">
        <v>0</v>
      </c>
      <c r="K34" s="14">
        <v>0</v>
      </c>
      <c r="L34" s="14">
        <v>100</v>
      </c>
      <c r="M34" s="231"/>
      <c r="O34" s="72">
        <f t="shared" si="7"/>
        <v>227404.0588235294</v>
      </c>
      <c r="P34" s="232">
        <v>114512.3253968254</v>
      </c>
      <c r="Q34" s="218">
        <v>154</v>
      </c>
      <c r="R34" s="13">
        <f t="shared" si="0"/>
        <v>341916.38422035478</v>
      </c>
      <c r="S34" s="74">
        <f t="shared" si="1"/>
        <v>1994</v>
      </c>
      <c r="T34" s="12">
        <f t="shared" si="2"/>
        <v>37</v>
      </c>
      <c r="U34" s="12"/>
      <c r="V34" s="13">
        <f t="shared" si="4"/>
        <v>295340.06676003733</v>
      </c>
      <c r="W34" s="119">
        <f t="shared" si="5"/>
        <v>2169353348.1642728</v>
      </c>
      <c r="X34" s="120">
        <f t="shared" si="6"/>
        <v>-0.13622136759114892</v>
      </c>
      <c r="Y34" s="124">
        <f t="shared" si="3"/>
        <v>1994</v>
      </c>
      <c r="Z34" s="61">
        <v>35</v>
      </c>
      <c r="AA34" s="62">
        <v>1.306</v>
      </c>
      <c r="AB34" s="75"/>
    </row>
    <row r="35" spans="1:28">
      <c r="A35" s="31">
        <v>1995</v>
      </c>
      <c r="B35" s="107"/>
      <c r="C35" s="107"/>
      <c r="D35" s="71">
        <v>50874</v>
      </c>
      <c r="E35" s="71">
        <v>5776</v>
      </c>
      <c r="F35" s="71">
        <v>145542.88235294117</v>
      </c>
      <c r="G35" s="71">
        <v>0</v>
      </c>
      <c r="H35" s="71">
        <v>6164.1764705882351</v>
      </c>
      <c r="I35" s="82">
        <v>8334</v>
      </c>
      <c r="J35" s="71">
        <v>32</v>
      </c>
      <c r="K35" s="71">
        <v>40</v>
      </c>
      <c r="L35" s="71">
        <v>36</v>
      </c>
      <c r="M35" s="231"/>
      <c r="O35" s="72">
        <f t="shared" si="7"/>
        <v>216799.0588235294</v>
      </c>
      <c r="P35" s="232">
        <v>185526.6507936508</v>
      </c>
      <c r="Q35" s="218">
        <v>492</v>
      </c>
      <c r="R35" s="13">
        <f t="shared" si="0"/>
        <v>402325.70961718017</v>
      </c>
      <c r="S35" s="74">
        <f t="shared" si="1"/>
        <v>1995</v>
      </c>
      <c r="T35" s="12">
        <f t="shared" si="2"/>
        <v>33</v>
      </c>
      <c r="U35" s="12"/>
      <c r="V35" s="13">
        <f t="shared" si="4"/>
        <v>341916.38422035478</v>
      </c>
      <c r="W35" s="119">
        <f t="shared" si="5"/>
        <v>3649286594.8995323</v>
      </c>
      <c r="X35" s="120">
        <f t="shared" si="6"/>
        <v>-0.15015029850890191</v>
      </c>
      <c r="Y35" s="124">
        <f t="shared" si="3"/>
        <v>1995</v>
      </c>
      <c r="Z35" s="61"/>
      <c r="AA35" s="62"/>
      <c r="AB35" s="75"/>
    </row>
    <row r="36" spans="1:28">
      <c r="A36" s="31">
        <v>1996</v>
      </c>
      <c r="B36" s="107"/>
      <c r="C36" s="107"/>
      <c r="D36" s="71">
        <v>70070</v>
      </c>
      <c r="E36" s="71">
        <v>10738</v>
      </c>
      <c r="F36" s="71">
        <v>121621</v>
      </c>
      <c r="G36" s="14">
        <v>0</v>
      </c>
      <c r="H36" s="14">
        <v>6164.1764705882351</v>
      </c>
      <c r="I36" s="71">
        <v>12338</v>
      </c>
      <c r="J36" s="71">
        <v>0</v>
      </c>
      <c r="K36" s="14">
        <v>0</v>
      </c>
      <c r="L36" s="14">
        <v>694</v>
      </c>
      <c r="M36" s="231"/>
      <c r="O36" s="72">
        <f t="shared" si="7"/>
        <v>221625.17647058822</v>
      </c>
      <c r="P36" s="232">
        <v>368936.71428571432</v>
      </c>
      <c r="Q36" s="218">
        <v>78</v>
      </c>
      <c r="R36" s="13">
        <f t="shared" si="0"/>
        <v>590561.89075630251</v>
      </c>
      <c r="S36" s="74">
        <f t="shared" si="1"/>
        <v>1996</v>
      </c>
      <c r="T36" s="12">
        <f t="shared" si="2"/>
        <v>19</v>
      </c>
      <c r="U36" s="12"/>
      <c r="V36" s="13">
        <f t="shared" si="4"/>
        <v>402325.70961718017</v>
      </c>
      <c r="W36" s="119">
        <f t="shared" si="5"/>
        <v>35432859889.840477</v>
      </c>
      <c r="X36" s="120">
        <f t="shared" si="6"/>
        <v>-0.31874081969301787</v>
      </c>
      <c r="Y36" s="124">
        <f t="shared" si="3"/>
        <v>1996</v>
      </c>
      <c r="Z36" s="61">
        <v>40</v>
      </c>
      <c r="AA36" s="62">
        <v>1.3029999999999999</v>
      </c>
      <c r="AB36" s="75"/>
    </row>
    <row r="37" spans="1:28">
      <c r="A37" s="31">
        <v>1997</v>
      </c>
      <c r="B37" s="107"/>
      <c r="C37" s="107"/>
      <c r="D37" s="71">
        <v>191357</v>
      </c>
      <c r="E37" s="71">
        <v>4877</v>
      </c>
      <c r="F37" s="71">
        <v>121621</v>
      </c>
      <c r="G37" s="14">
        <v>0</v>
      </c>
      <c r="H37" s="14">
        <v>6164.1764705882351</v>
      </c>
      <c r="I37" s="71">
        <v>6654</v>
      </c>
      <c r="J37" s="71">
        <v>2001</v>
      </c>
      <c r="K37" s="14">
        <v>3252</v>
      </c>
      <c r="L37" s="14">
        <v>177</v>
      </c>
      <c r="M37" s="231"/>
      <c r="O37" s="72">
        <f t="shared" si="7"/>
        <v>336103.17647058825</v>
      </c>
      <c r="P37" s="232">
        <v>212128.34920634923</v>
      </c>
      <c r="Q37" s="218">
        <v>124</v>
      </c>
      <c r="R37" s="13">
        <f t="shared" si="0"/>
        <v>548231.52567693754</v>
      </c>
      <c r="S37" s="74">
        <f t="shared" si="1"/>
        <v>1997</v>
      </c>
      <c r="T37" s="12">
        <f t="shared" si="2"/>
        <v>22</v>
      </c>
      <c r="U37" s="12"/>
      <c r="V37" s="13">
        <f t="shared" si="4"/>
        <v>590561.89075630251</v>
      </c>
      <c r="W37" s="119">
        <f t="shared" si="5"/>
        <v>1791859807.7523215</v>
      </c>
      <c r="X37" s="120">
        <f t="shared" si="6"/>
        <v>7.7212570048934864E-2</v>
      </c>
      <c r="Y37" s="124">
        <f t="shared" si="3"/>
        <v>1997</v>
      </c>
      <c r="Z37" s="61">
        <v>45</v>
      </c>
      <c r="AA37" s="62">
        <v>1.3009999999999999</v>
      </c>
      <c r="AB37" s="75"/>
    </row>
    <row r="38" spans="1:28">
      <c r="A38" s="31">
        <v>1998</v>
      </c>
      <c r="B38" s="107"/>
      <c r="C38" s="107"/>
      <c r="D38" s="71">
        <v>103954</v>
      </c>
      <c r="E38" s="71">
        <v>56502</v>
      </c>
      <c r="F38" s="71">
        <v>121621</v>
      </c>
      <c r="G38" s="14">
        <v>0</v>
      </c>
      <c r="H38" s="14">
        <v>6164.1764705882351</v>
      </c>
      <c r="I38" s="71">
        <v>103</v>
      </c>
      <c r="J38" s="71">
        <v>3015</v>
      </c>
      <c r="K38" s="14">
        <v>4685</v>
      </c>
      <c r="L38" s="14">
        <v>586</v>
      </c>
      <c r="M38" s="231"/>
      <c r="O38" s="72">
        <f t="shared" si="7"/>
        <v>296630.17647058825</v>
      </c>
      <c r="P38" s="232">
        <v>183998.97619047621</v>
      </c>
      <c r="Q38" s="218">
        <v>78</v>
      </c>
      <c r="R38" s="13">
        <f t="shared" si="0"/>
        <v>480629.15266106447</v>
      </c>
      <c r="S38" s="74">
        <f t="shared" si="1"/>
        <v>1998</v>
      </c>
      <c r="T38" s="12">
        <f t="shared" si="2"/>
        <v>27</v>
      </c>
      <c r="U38" s="12"/>
      <c r="V38" s="13">
        <f t="shared" si="4"/>
        <v>548231.52567693754</v>
      </c>
      <c r="W38" s="119">
        <f t="shared" si="5"/>
        <v>4570080837.377244</v>
      </c>
      <c r="X38" s="120">
        <f t="shared" si="6"/>
        <v>0.14065391714502529</v>
      </c>
      <c r="Y38" s="124">
        <f t="shared" si="3"/>
        <v>1998</v>
      </c>
      <c r="Z38" s="61">
        <v>50</v>
      </c>
      <c r="AA38" s="62">
        <v>1.2989999999999999</v>
      </c>
      <c r="AB38" s="75"/>
    </row>
    <row r="39" spans="1:28">
      <c r="A39" s="31">
        <v>1999</v>
      </c>
      <c r="B39" s="107"/>
      <c r="C39" s="107"/>
      <c r="D39" s="71">
        <v>106966</v>
      </c>
      <c r="E39" s="71">
        <v>11002</v>
      </c>
      <c r="F39" s="71">
        <v>121621</v>
      </c>
      <c r="G39" s="14">
        <v>0</v>
      </c>
      <c r="H39" s="14">
        <v>6164.1764705882351</v>
      </c>
      <c r="I39" s="71">
        <v>11303</v>
      </c>
      <c r="J39" s="71">
        <v>198</v>
      </c>
      <c r="K39" s="14">
        <v>83147</v>
      </c>
      <c r="L39" s="14">
        <v>298</v>
      </c>
      <c r="M39" s="231"/>
      <c r="O39" s="72">
        <f t="shared" si="7"/>
        <v>340699.17647058819</v>
      </c>
      <c r="P39" s="232">
        <v>252388.30158730163</v>
      </c>
      <c r="Q39" s="218">
        <v>299</v>
      </c>
      <c r="R39" s="13">
        <f t="shared" si="0"/>
        <v>593087.47805788985</v>
      </c>
      <c r="S39" s="74">
        <f t="shared" si="1"/>
        <v>1999</v>
      </c>
      <c r="T39" s="12">
        <f t="shared" si="2"/>
        <v>18</v>
      </c>
      <c r="U39" s="12"/>
      <c r="V39" s="13">
        <f t="shared" si="4"/>
        <v>480629.15266106447</v>
      </c>
      <c r="W39" s="119">
        <f t="shared" si="5"/>
        <v>12646874951.058262</v>
      </c>
      <c r="X39" s="120">
        <f t="shared" si="6"/>
        <v>-0.18961507291484006</v>
      </c>
      <c r="Y39" s="124">
        <f t="shared" si="3"/>
        <v>1999</v>
      </c>
      <c r="Z39" s="61">
        <v>55</v>
      </c>
      <c r="AA39" s="62">
        <v>1.2969999999999999</v>
      </c>
      <c r="AB39" s="75"/>
    </row>
    <row r="40" spans="1:28">
      <c r="A40" s="31">
        <v>2000</v>
      </c>
      <c r="B40" s="107"/>
      <c r="C40" s="107"/>
      <c r="D40" s="71">
        <v>240299</v>
      </c>
      <c r="E40" s="71">
        <v>9874</v>
      </c>
      <c r="F40" s="71">
        <v>121621</v>
      </c>
      <c r="G40" s="14">
        <v>581</v>
      </c>
      <c r="H40" s="14">
        <v>6164.1764705882351</v>
      </c>
      <c r="I40" s="71">
        <v>12071</v>
      </c>
      <c r="J40" s="71">
        <v>1015</v>
      </c>
      <c r="K40" s="14">
        <v>71565</v>
      </c>
      <c r="L40" s="14">
        <v>20</v>
      </c>
      <c r="M40" s="231"/>
      <c r="O40" s="72">
        <f t="shared" si="7"/>
        <v>463210.17647058825</v>
      </c>
      <c r="P40" s="232">
        <v>397492.16666666663</v>
      </c>
      <c r="Q40" s="218">
        <v>636</v>
      </c>
      <c r="R40" s="13">
        <f t="shared" si="0"/>
        <v>860702.34313725494</v>
      </c>
      <c r="S40" s="74">
        <f t="shared" si="1"/>
        <v>2000</v>
      </c>
      <c r="T40" s="12">
        <f t="shared" si="2"/>
        <v>13</v>
      </c>
      <c r="U40" s="12"/>
      <c r="V40" s="13">
        <f t="shared" si="4"/>
        <v>593087.47805788985</v>
      </c>
      <c r="W40" s="119">
        <f t="shared" si="5"/>
        <v>71617716011.446777</v>
      </c>
      <c r="X40" s="120">
        <f t="shared" si="6"/>
        <v>-0.31092614910737953</v>
      </c>
      <c r="Y40" s="124">
        <f t="shared" si="3"/>
        <v>2000</v>
      </c>
      <c r="Z40" s="61">
        <v>60</v>
      </c>
      <c r="AA40" s="62">
        <v>1.296</v>
      </c>
      <c r="AB40" s="75"/>
    </row>
    <row r="41" spans="1:28">
      <c r="A41" s="31">
        <v>2001</v>
      </c>
      <c r="B41" s="107"/>
      <c r="C41" s="107"/>
      <c r="D41" s="71">
        <v>258569</v>
      </c>
      <c r="E41" s="71">
        <v>9559</v>
      </c>
      <c r="F41" s="71">
        <v>121621</v>
      </c>
      <c r="G41" s="14">
        <v>0</v>
      </c>
      <c r="H41" s="14">
        <v>6164.1764705882351</v>
      </c>
      <c r="I41" s="71">
        <v>14880</v>
      </c>
      <c r="J41" s="71">
        <v>1627</v>
      </c>
      <c r="K41" s="14">
        <v>44493</v>
      </c>
      <c r="L41" s="14">
        <v>44</v>
      </c>
      <c r="M41" s="231"/>
      <c r="O41" s="72">
        <f t="shared" si="7"/>
        <v>456957.17647058825</v>
      </c>
      <c r="P41" s="232">
        <v>446385.26190476189</v>
      </c>
      <c r="Q41" s="218">
        <v>439</v>
      </c>
      <c r="R41" s="13">
        <f t="shared" si="0"/>
        <v>903342.43837535009</v>
      </c>
      <c r="S41" s="74">
        <f t="shared" si="1"/>
        <v>2001</v>
      </c>
      <c r="T41" s="12">
        <f t="shared" si="2"/>
        <v>11</v>
      </c>
      <c r="U41" s="12"/>
      <c r="V41" s="13">
        <f t="shared" si="4"/>
        <v>860702.34313725494</v>
      </c>
      <c r="W41" s="119">
        <f t="shared" si="5"/>
        <v>1818177721.9138246</v>
      </c>
      <c r="X41" s="120">
        <f t="shared" si="6"/>
        <v>-4.7202581686279256E-2</v>
      </c>
      <c r="Y41" s="124">
        <f t="shared" si="3"/>
        <v>2001</v>
      </c>
      <c r="Z41" s="61">
        <v>70</v>
      </c>
      <c r="AA41" s="62">
        <v>1.294</v>
      </c>
      <c r="AB41" s="75"/>
    </row>
    <row r="42" spans="1:28">
      <c r="A42" s="32">
        <v>2002</v>
      </c>
      <c r="B42" s="108"/>
      <c r="C42" s="108"/>
      <c r="D42" s="82">
        <v>9811</v>
      </c>
      <c r="E42" s="82">
        <v>8632</v>
      </c>
      <c r="F42" s="82">
        <v>121621</v>
      </c>
      <c r="G42" s="82">
        <v>0</v>
      </c>
      <c r="H42" s="82">
        <v>6164</v>
      </c>
      <c r="I42" s="82">
        <v>416</v>
      </c>
      <c r="J42" s="82">
        <v>0</v>
      </c>
      <c r="K42" s="82">
        <v>32776</v>
      </c>
      <c r="L42" s="82">
        <v>884</v>
      </c>
      <c r="M42" s="231"/>
      <c r="O42" s="72">
        <f t="shared" si="7"/>
        <v>180304</v>
      </c>
      <c r="P42" s="232">
        <v>292597.04761904763</v>
      </c>
      <c r="Q42" s="217">
        <v>1329</v>
      </c>
      <c r="R42" s="13">
        <f t="shared" si="0"/>
        <v>472901.04761904763</v>
      </c>
      <c r="S42" s="74">
        <f t="shared" si="1"/>
        <v>2002</v>
      </c>
      <c r="T42" s="12">
        <f t="shared" si="2"/>
        <v>28</v>
      </c>
      <c r="U42" s="12"/>
      <c r="V42" s="13">
        <f t="shared" si="4"/>
        <v>903342.43837535009</v>
      </c>
      <c r="W42" s="119">
        <f t="shared" si="5"/>
        <v>185279790876.21985</v>
      </c>
      <c r="X42" s="120">
        <f t="shared" si="6"/>
        <v>0.91021450031350071</v>
      </c>
      <c r="Y42" s="124">
        <f t="shared" si="3"/>
        <v>2002</v>
      </c>
      <c r="Z42" s="61">
        <v>80</v>
      </c>
      <c r="AA42" s="62">
        <v>1.2929999999999999</v>
      </c>
      <c r="AB42" s="75"/>
    </row>
    <row r="43" spans="1:28">
      <c r="A43" s="31">
        <v>2003</v>
      </c>
      <c r="B43" s="107"/>
      <c r="C43" s="107">
        <v>0</v>
      </c>
      <c r="D43" s="82">
        <v>23377</v>
      </c>
      <c r="E43" s="82">
        <v>7093</v>
      </c>
      <c r="F43" s="82">
        <v>171685</v>
      </c>
      <c r="G43" s="82">
        <v>0</v>
      </c>
      <c r="H43" s="82">
        <v>6164</v>
      </c>
      <c r="I43" s="82">
        <v>24968</v>
      </c>
      <c r="J43" s="82">
        <v>74300</v>
      </c>
      <c r="K43" s="82">
        <v>13148</v>
      </c>
      <c r="L43" s="82">
        <v>20</v>
      </c>
      <c r="M43" s="231"/>
      <c r="O43" s="72">
        <f t="shared" si="7"/>
        <v>320755</v>
      </c>
      <c r="P43" s="232">
        <v>546436.27777777787</v>
      </c>
      <c r="Q43" s="217">
        <v>507</v>
      </c>
      <c r="R43" s="13">
        <f t="shared" si="0"/>
        <v>867191.27777777787</v>
      </c>
      <c r="S43" s="74">
        <f t="shared" si="1"/>
        <v>2003</v>
      </c>
      <c r="T43" s="12">
        <f t="shared" si="2"/>
        <v>12</v>
      </c>
      <c r="U43" s="12"/>
      <c r="V43" s="13">
        <f t="shared" si="4"/>
        <v>472901.04761904763</v>
      </c>
      <c r="W43" s="119">
        <f t="shared" si="5"/>
        <v>155464785598.62445</v>
      </c>
      <c r="X43" s="120">
        <f t="shared" si="6"/>
        <v>-0.45467504143851534</v>
      </c>
      <c r="Y43" s="124">
        <f t="shared" si="3"/>
        <v>2003</v>
      </c>
      <c r="Z43" s="61">
        <v>90</v>
      </c>
      <c r="AA43" s="62">
        <v>1.2909999999999999</v>
      </c>
      <c r="AB43" s="75"/>
    </row>
    <row r="44" spans="1:28">
      <c r="A44" s="32">
        <v>2004</v>
      </c>
      <c r="B44" s="108"/>
      <c r="C44" s="108">
        <v>0</v>
      </c>
      <c r="D44" s="82">
        <v>102036</v>
      </c>
      <c r="E44" s="82">
        <v>154</v>
      </c>
      <c r="F44" s="82">
        <v>43106</v>
      </c>
      <c r="G44" s="82">
        <v>0</v>
      </c>
      <c r="H44" s="82">
        <v>7546</v>
      </c>
      <c r="I44" s="82">
        <v>338</v>
      </c>
      <c r="J44" s="82">
        <v>10940</v>
      </c>
      <c r="K44" s="82">
        <v>49560</v>
      </c>
      <c r="L44" s="82">
        <v>168</v>
      </c>
      <c r="M44" s="231"/>
      <c r="O44" s="72">
        <f t="shared" si="7"/>
        <v>213848</v>
      </c>
      <c r="P44" s="232">
        <v>289742.10317460314</v>
      </c>
      <c r="Q44" s="217">
        <v>20</v>
      </c>
      <c r="R44" s="13">
        <f t="shared" si="0"/>
        <v>503590.10317460314</v>
      </c>
      <c r="S44" s="74">
        <f t="shared" si="1"/>
        <v>2004</v>
      </c>
      <c r="T44" s="12">
        <f t="shared" si="2"/>
        <v>23</v>
      </c>
      <c r="U44" s="12"/>
      <c r="V44" s="13">
        <f t="shared" si="4"/>
        <v>867191.27777777787</v>
      </c>
      <c r="W44" s="119">
        <f t="shared" si="5"/>
        <v>132205814172.80836</v>
      </c>
      <c r="X44" s="120">
        <f t="shared" si="6"/>
        <v>0.72201811018734041</v>
      </c>
      <c r="Y44" s="124">
        <f t="shared" si="3"/>
        <v>2004</v>
      </c>
      <c r="Z44" s="61">
        <v>100</v>
      </c>
      <c r="AA44" s="62">
        <v>1.29</v>
      </c>
      <c r="AB44" s="75"/>
    </row>
    <row r="45" spans="1:28">
      <c r="A45" s="32">
        <v>2005</v>
      </c>
      <c r="B45" s="108"/>
      <c r="C45" s="108">
        <v>0</v>
      </c>
      <c r="D45" s="82">
        <v>30296</v>
      </c>
      <c r="E45" s="82">
        <v>6247</v>
      </c>
      <c r="F45" s="82">
        <v>14571</v>
      </c>
      <c r="G45" s="82">
        <v>0</v>
      </c>
      <c r="H45" s="82">
        <v>2970</v>
      </c>
      <c r="I45" s="82">
        <v>3759</v>
      </c>
      <c r="J45" s="82">
        <v>3354</v>
      </c>
      <c r="K45" s="82">
        <v>4329</v>
      </c>
      <c r="L45" s="82">
        <v>858</v>
      </c>
      <c r="M45" s="231"/>
      <c r="O45" s="72">
        <f t="shared" si="7"/>
        <v>66384</v>
      </c>
      <c r="P45" s="232">
        <v>245983.01587301589</v>
      </c>
      <c r="Q45" s="217">
        <v>916</v>
      </c>
      <c r="R45" s="13">
        <f t="shared" si="0"/>
        <v>312367.01587301586</v>
      </c>
      <c r="S45" s="74">
        <f t="shared" si="1"/>
        <v>2005</v>
      </c>
      <c r="T45" s="12">
        <f t="shared" si="2"/>
        <v>39</v>
      </c>
      <c r="U45" s="12"/>
      <c r="V45" s="13">
        <f t="shared" si="4"/>
        <v>503590.10317460314</v>
      </c>
      <c r="W45" s="119">
        <f t="shared" si="5"/>
        <v>36566269117.150467</v>
      </c>
      <c r="X45" s="120">
        <f t="shared" si="6"/>
        <v>0.61217438969075955</v>
      </c>
      <c r="Y45" s="124">
        <f t="shared" si="3"/>
        <v>2005</v>
      </c>
      <c r="Z45" s="83">
        <v>120</v>
      </c>
      <c r="AA45" s="84">
        <v>1.2889999999999999</v>
      </c>
      <c r="AB45" s="75"/>
    </row>
    <row r="46" spans="1:28">
      <c r="A46" s="31">
        <v>2006</v>
      </c>
      <c r="B46" s="107"/>
      <c r="C46" s="107">
        <v>0</v>
      </c>
      <c r="D46" s="82">
        <v>110755</v>
      </c>
      <c r="E46" s="82">
        <v>1623</v>
      </c>
      <c r="F46" s="82">
        <v>8423</v>
      </c>
      <c r="G46" s="82">
        <v>0</v>
      </c>
      <c r="H46" s="82">
        <v>5995</v>
      </c>
      <c r="I46" s="82">
        <v>1759</v>
      </c>
      <c r="J46" s="82">
        <v>5347</v>
      </c>
      <c r="K46" s="82">
        <v>16391</v>
      </c>
      <c r="L46" s="82">
        <v>171</v>
      </c>
      <c r="M46" s="231"/>
      <c r="O46" s="72">
        <f t="shared" si="7"/>
        <v>150464</v>
      </c>
      <c r="P46" s="232">
        <v>304695.42857142864</v>
      </c>
      <c r="Q46" s="217">
        <v>708</v>
      </c>
      <c r="R46" s="13">
        <f t="shared" si="0"/>
        <v>455159.42857142864</v>
      </c>
      <c r="S46" s="74">
        <f t="shared" si="1"/>
        <v>2006</v>
      </c>
      <c r="T46" s="12">
        <f t="shared" si="2"/>
        <v>30</v>
      </c>
      <c r="U46" s="12"/>
      <c r="V46" s="13">
        <f t="shared" si="4"/>
        <v>312367.01587301586</v>
      </c>
      <c r="W46" s="119">
        <f t="shared" si="5"/>
        <v>20389673124.233837</v>
      </c>
      <c r="X46" s="120">
        <f t="shared" si="6"/>
        <v>-0.31371955349048475</v>
      </c>
      <c r="Y46" s="124">
        <f t="shared" si="3"/>
        <v>2006</v>
      </c>
      <c r="Z46" s="75"/>
      <c r="AA46" s="75"/>
      <c r="AB46" s="75"/>
    </row>
    <row r="47" spans="1:28">
      <c r="A47" s="32">
        <v>2007</v>
      </c>
      <c r="B47" s="108"/>
      <c r="C47" s="108">
        <v>0</v>
      </c>
      <c r="D47" s="82">
        <v>79902</v>
      </c>
      <c r="E47" s="82">
        <v>317</v>
      </c>
      <c r="F47" s="82">
        <v>15572</v>
      </c>
      <c r="G47" s="82">
        <v>0</v>
      </c>
      <c r="H47" s="82">
        <v>5141</v>
      </c>
      <c r="I47" s="82">
        <v>0</v>
      </c>
      <c r="J47" s="82">
        <v>1847</v>
      </c>
      <c r="K47" s="82">
        <v>13997</v>
      </c>
      <c r="L47" s="82">
        <v>226</v>
      </c>
      <c r="M47" s="231"/>
      <c r="O47" s="72">
        <f t="shared" si="7"/>
        <v>117002</v>
      </c>
      <c r="P47" s="232">
        <v>323006.56349206355</v>
      </c>
      <c r="Q47" s="244">
        <v>403</v>
      </c>
      <c r="R47" s="13">
        <f t="shared" si="0"/>
        <v>440008.56349206355</v>
      </c>
      <c r="S47" s="74">
        <f t="shared" si="1"/>
        <v>2007</v>
      </c>
      <c r="T47" s="12">
        <f t="shared" si="2"/>
        <v>31</v>
      </c>
      <c r="U47" s="12"/>
      <c r="V47" s="13">
        <f t="shared" si="4"/>
        <v>455159.42857142864</v>
      </c>
      <c r="W47" s="119">
        <f t="shared" si="5"/>
        <v>229548712.65312448</v>
      </c>
      <c r="X47" s="120">
        <f t="shared" si="6"/>
        <v>3.4433114117421865E-2</v>
      </c>
      <c r="Y47" s="124">
        <f t="shared" ref="Y47:Y54" si="8">A47</f>
        <v>2007</v>
      </c>
      <c r="Z47" s="75"/>
      <c r="AA47" s="75"/>
      <c r="AB47" s="75"/>
    </row>
    <row r="48" spans="1:28">
      <c r="A48" s="32">
        <v>2008</v>
      </c>
      <c r="B48" s="108"/>
      <c r="C48" s="108">
        <v>0</v>
      </c>
      <c r="D48" s="71">
        <v>15124</v>
      </c>
      <c r="E48" s="71">
        <v>1150</v>
      </c>
      <c r="F48" s="71">
        <v>77747</v>
      </c>
      <c r="G48" s="14">
        <v>0</v>
      </c>
      <c r="H48" s="14">
        <v>37292</v>
      </c>
      <c r="I48" s="71">
        <v>5844</v>
      </c>
      <c r="J48" s="71">
        <v>44801</v>
      </c>
      <c r="K48" s="14">
        <v>0</v>
      </c>
      <c r="L48" s="14">
        <v>58</v>
      </c>
      <c r="M48" s="231"/>
      <c r="O48" s="72">
        <f t="shared" si="7"/>
        <v>182016</v>
      </c>
      <c r="P48" s="232">
        <v>245644</v>
      </c>
      <c r="Q48" s="245">
        <v>20</v>
      </c>
      <c r="R48" s="13">
        <f t="shared" si="0"/>
        <v>427660</v>
      </c>
      <c r="S48" s="74">
        <f t="shared" ref="S48:S54" si="9">A48</f>
        <v>2008</v>
      </c>
      <c r="T48" s="12">
        <f t="shared" si="2"/>
        <v>32</v>
      </c>
      <c r="U48" s="12"/>
      <c r="V48" s="13">
        <f t="shared" si="4"/>
        <v>440008.56349206355</v>
      </c>
      <c r="W48" s="119">
        <f t="shared" si="5"/>
        <v>152487020.31752473</v>
      </c>
      <c r="X48" s="120">
        <f t="shared" si="6"/>
        <v>2.8874721723012555E-2</v>
      </c>
      <c r="Y48" s="124">
        <f t="shared" si="8"/>
        <v>2008</v>
      </c>
      <c r="Z48" s="75"/>
      <c r="AA48" s="75"/>
      <c r="AB48" s="75"/>
    </row>
    <row r="49" spans="1:29">
      <c r="A49" s="32">
        <v>2009</v>
      </c>
      <c r="B49" s="108">
        <v>7702</v>
      </c>
      <c r="C49" s="108">
        <v>0</v>
      </c>
      <c r="D49" s="71">
        <v>4752</v>
      </c>
      <c r="E49" s="71">
        <v>0</v>
      </c>
      <c r="F49" s="71">
        <v>41069</v>
      </c>
      <c r="G49" s="14">
        <v>0</v>
      </c>
      <c r="H49" s="14">
        <v>16458</v>
      </c>
      <c r="I49" s="71">
        <v>3828</v>
      </c>
      <c r="J49" s="71">
        <v>5791</v>
      </c>
      <c r="K49" s="14">
        <v>2887</v>
      </c>
      <c r="L49" s="14">
        <v>384</v>
      </c>
      <c r="M49" s="231"/>
      <c r="O49" s="72">
        <f t="shared" si="7"/>
        <v>82871</v>
      </c>
      <c r="P49" s="232">
        <v>400049.36507936503</v>
      </c>
      <c r="Q49" s="245">
        <v>0</v>
      </c>
      <c r="R49" s="13">
        <f t="shared" si="0"/>
        <v>482920.36507936503</v>
      </c>
      <c r="S49" s="74">
        <f t="shared" si="9"/>
        <v>2009</v>
      </c>
      <c r="T49" s="12">
        <f t="shared" si="2"/>
        <v>26</v>
      </c>
      <c r="U49" s="12"/>
      <c r="V49" s="13">
        <f t="shared" si="4"/>
        <v>427660</v>
      </c>
      <c r="W49" s="119">
        <f t="shared" si="5"/>
        <v>3053707948.7047062</v>
      </c>
      <c r="X49" s="120">
        <f t="shared" si="6"/>
        <v>-0.11442956038990679</v>
      </c>
      <c r="Y49" s="124">
        <f t="shared" si="8"/>
        <v>2009</v>
      </c>
      <c r="Z49" s="75"/>
      <c r="AA49" s="75"/>
      <c r="AB49" s="75"/>
    </row>
    <row r="50" spans="1:29">
      <c r="A50" s="32">
        <v>2010</v>
      </c>
      <c r="B50" s="108"/>
      <c r="C50" s="108">
        <v>0</v>
      </c>
      <c r="D50" s="117">
        <v>9560.2923999264203</v>
      </c>
      <c r="E50" s="117">
        <v>2438</v>
      </c>
      <c r="F50" s="117">
        <v>43132.471468575262</v>
      </c>
      <c r="G50" s="14">
        <v>0</v>
      </c>
      <c r="H50" s="117">
        <v>27767.835237583549</v>
      </c>
      <c r="I50" s="117">
        <v>4883.3978766967666</v>
      </c>
      <c r="J50" s="117">
        <v>4064.3839638492004</v>
      </c>
      <c r="K50" s="14">
        <v>0</v>
      </c>
      <c r="L50" s="14">
        <v>26</v>
      </c>
      <c r="M50" s="231"/>
      <c r="O50" s="72">
        <f t="shared" si="7"/>
        <v>91872.380946631209</v>
      </c>
      <c r="P50" s="232">
        <v>498040.99206349207</v>
      </c>
      <c r="Q50" s="245">
        <v>0</v>
      </c>
      <c r="R50" s="13">
        <f t="shared" si="0"/>
        <v>589913.37301012326</v>
      </c>
      <c r="S50" s="74">
        <f t="shared" si="9"/>
        <v>2010</v>
      </c>
      <c r="T50" s="12">
        <f t="shared" si="2"/>
        <v>20</v>
      </c>
      <c r="U50" s="12"/>
      <c r="V50" s="13">
        <f t="shared" si="4"/>
        <v>482920.36507936503</v>
      </c>
      <c r="W50" s="119">
        <f>(V50-R50)^2</f>
        <v>11447503746.071295</v>
      </c>
      <c r="X50" s="120">
        <f>(V50-R50)/R50</f>
        <v>-0.1813707110669657</v>
      </c>
      <c r="Y50" s="124">
        <f t="shared" si="8"/>
        <v>2010</v>
      </c>
      <c r="Z50" s="75"/>
      <c r="AA50" s="75"/>
      <c r="AB50" s="75"/>
    </row>
    <row r="51" spans="1:29">
      <c r="A51" s="32">
        <v>2011</v>
      </c>
      <c r="B51" s="108"/>
      <c r="C51" s="108">
        <v>0</v>
      </c>
      <c r="D51" s="71">
        <f>23496+8115</f>
        <v>31611</v>
      </c>
      <c r="E51" s="71">
        <v>2354</v>
      </c>
      <c r="F51" s="71">
        <v>27644</v>
      </c>
      <c r="G51" s="14">
        <v>1083</v>
      </c>
      <c r="H51" s="14">
        <v>15999</v>
      </c>
      <c r="I51" s="71">
        <v>7007</v>
      </c>
      <c r="J51" s="71">
        <v>4215</v>
      </c>
      <c r="K51" s="14">
        <v>11797</v>
      </c>
      <c r="L51" s="14">
        <v>30</v>
      </c>
      <c r="M51" s="231"/>
      <c r="O51" s="72">
        <f>SUM(B51:L51)</f>
        <v>101740</v>
      </c>
      <c r="P51" s="232">
        <v>455787.96825396828</v>
      </c>
      <c r="Q51" s="245">
        <v>0</v>
      </c>
      <c r="R51" s="13">
        <f t="shared" si="0"/>
        <v>557527.96825396828</v>
      </c>
      <c r="S51" s="74">
        <f t="shared" si="9"/>
        <v>2011</v>
      </c>
      <c r="T51" s="12">
        <f t="shared" si="2"/>
        <v>21</v>
      </c>
      <c r="U51" s="12"/>
      <c r="V51" s="13">
        <f t="shared" si="4"/>
        <v>589913.37301012326</v>
      </c>
      <c r="W51" s="119">
        <f>(V51-R51)^2</f>
        <v>1048814441.2199857</v>
      </c>
      <c r="X51" s="120">
        <f>(V51-R51)/R51</f>
        <v>5.8087498027368199E-2</v>
      </c>
      <c r="Y51" s="124">
        <f t="shared" si="8"/>
        <v>2011</v>
      </c>
      <c r="Z51" s="75"/>
      <c r="AA51" s="75"/>
      <c r="AB51" s="75"/>
    </row>
    <row r="52" spans="1:29">
      <c r="A52" s="32">
        <v>2012</v>
      </c>
      <c r="B52" s="108">
        <v>2707</v>
      </c>
      <c r="C52" s="108">
        <v>0</v>
      </c>
      <c r="D52" s="71">
        <v>79995</v>
      </c>
      <c r="E52" s="73">
        <v>2149</v>
      </c>
      <c r="F52" s="71">
        <v>71576</v>
      </c>
      <c r="G52" s="71">
        <v>37</v>
      </c>
      <c r="H52" s="71">
        <v>11128</v>
      </c>
      <c r="I52" s="71">
        <v>8427</v>
      </c>
      <c r="J52" s="71">
        <v>303</v>
      </c>
      <c r="K52" s="71">
        <v>35476</v>
      </c>
      <c r="L52" s="71">
        <v>0</v>
      </c>
      <c r="M52" s="231"/>
      <c r="O52" s="72">
        <f>SUM(B52:L52)</f>
        <v>211798</v>
      </c>
      <c r="P52" s="232">
        <v>179307.6984126984</v>
      </c>
      <c r="Q52" s="245">
        <v>0</v>
      </c>
      <c r="R52" s="13">
        <f t="shared" si="0"/>
        <v>391105.6984126984</v>
      </c>
      <c r="S52" s="74">
        <f t="shared" si="9"/>
        <v>2012</v>
      </c>
      <c r="T52" s="12">
        <f>RANK($R52,$R$10:$R$54)</f>
        <v>35</v>
      </c>
      <c r="U52" s="12"/>
      <c r="V52" s="13">
        <f>R51</f>
        <v>557527.96825396828</v>
      </c>
      <c r="W52" s="119">
        <f>(V52-R52)^2</f>
        <v>27696371899.120445</v>
      </c>
      <c r="X52" s="120">
        <f>(V52-R52)/R52</f>
        <v>0.42551737424612907</v>
      </c>
      <c r="Y52" s="124">
        <f t="shared" si="8"/>
        <v>2012</v>
      </c>
      <c r="Z52" s="75"/>
      <c r="AA52" s="75"/>
      <c r="AB52" s="75"/>
    </row>
    <row r="53" spans="1:29">
      <c r="A53" s="32">
        <v>2013</v>
      </c>
      <c r="B53" s="108">
        <v>525</v>
      </c>
      <c r="C53" s="108">
        <v>0</v>
      </c>
      <c r="D53" s="71">
        <v>91637.334398976993</v>
      </c>
      <c r="E53" s="71">
        <v>3141.9224598930477</v>
      </c>
      <c r="F53" s="71">
        <v>48020.588558614254</v>
      </c>
      <c r="G53" s="14">
        <v>171</v>
      </c>
      <c r="H53" s="14">
        <v>31462.103304879387</v>
      </c>
      <c r="I53" s="71">
        <v>3234.4622435410338</v>
      </c>
      <c r="J53" s="71">
        <v>23090.167245240766</v>
      </c>
      <c r="K53" s="14">
        <v>35423.550000000003</v>
      </c>
      <c r="L53" s="14">
        <v>187</v>
      </c>
      <c r="M53" s="231"/>
      <c r="O53" s="72">
        <f t="shared" si="7"/>
        <v>236893.12821114546</v>
      </c>
      <c r="P53" s="232">
        <v>247322.85714285716</v>
      </c>
      <c r="Q53" s="245">
        <v>0</v>
      </c>
      <c r="R53" s="13">
        <f t="shared" si="0"/>
        <v>484215.98535400262</v>
      </c>
      <c r="S53" s="74">
        <f t="shared" si="9"/>
        <v>2013</v>
      </c>
      <c r="T53" s="12">
        <f>RANK($R53,$R$10:$R$54)</f>
        <v>25</v>
      </c>
      <c r="U53" s="12"/>
      <c r="V53" s="13">
        <f>R52</f>
        <v>391105.6984126984</v>
      </c>
      <c r="W53" s="119">
        <f>(V53-R53)^2</f>
        <v>8669525534.2920074</v>
      </c>
      <c r="X53" s="120">
        <f>(V53-R53)/R53</f>
        <v>-0.19229081599450454</v>
      </c>
      <c r="Y53" s="124">
        <f t="shared" si="8"/>
        <v>2013</v>
      </c>
      <c r="Z53" s="75"/>
      <c r="AA53" s="75"/>
      <c r="AB53" s="75"/>
    </row>
    <row r="54" spans="1:29" ht="13" thickBot="1">
      <c r="A54" s="32">
        <v>2014</v>
      </c>
      <c r="B54" s="108">
        <v>0</v>
      </c>
      <c r="C54" s="108">
        <v>0</v>
      </c>
      <c r="D54" s="71">
        <v>96147</v>
      </c>
      <c r="E54" s="71">
        <v>2152</v>
      </c>
      <c r="F54" s="71">
        <v>58460</v>
      </c>
      <c r="G54" s="14">
        <v>5884</v>
      </c>
      <c r="H54" s="14">
        <v>24325</v>
      </c>
      <c r="I54" s="71">
        <v>7424</v>
      </c>
      <c r="J54" s="71">
        <v>19804</v>
      </c>
      <c r="K54" s="14">
        <v>12747</v>
      </c>
      <c r="L54" s="14">
        <v>135</v>
      </c>
      <c r="M54" s="231"/>
      <c r="O54" s="72">
        <f t="shared" si="7"/>
        <v>227078</v>
      </c>
      <c r="P54" s="233">
        <v>166670</v>
      </c>
      <c r="Q54" s="245">
        <v>0</v>
      </c>
      <c r="R54" s="13">
        <f t="shared" si="0"/>
        <v>393748</v>
      </c>
      <c r="S54" s="74">
        <f t="shared" si="9"/>
        <v>2014</v>
      </c>
      <c r="T54" s="12">
        <f>RANK($R54,$R$10:$R$54)</f>
        <v>34</v>
      </c>
      <c r="U54" s="12"/>
      <c r="V54" s="13">
        <f>R53</f>
        <v>484215.98535400262</v>
      </c>
      <c r="W54" s="119">
        <f>(V54-R54)^2</f>
        <v>8184456374.0120335</v>
      </c>
      <c r="X54" s="120">
        <f>(V54-R54)/R54</f>
        <v>0.22976112984447572</v>
      </c>
      <c r="Y54" s="124">
        <f t="shared" si="8"/>
        <v>2014</v>
      </c>
      <c r="Z54" s="75"/>
      <c r="AA54" s="75"/>
      <c r="AB54" s="75"/>
    </row>
    <row r="55" spans="1:29">
      <c r="A55" s="32"/>
      <c r="B55" s="108"/>
      <c r="C55" s="108"/>
      <c r="D55" s="71"/>
      <c r="E55" s="71"/>
      <c r="F55" s="71"/>
      <c r="G55" s="14"/>
      <c r="H55" s="14"/>
      <c r="I55" s="71"/>
      <c r="J55" s="71"/>
      <c r="K55" s="14"/>
      <c r="L55" s="14"/>
      <c r="O55" s="76"/>
      <c r="P55" s="85"/>
      <c r="Q55" s="70"/>
      <c r="R55" s="118"/>
      <c r="S55" s="116"/>
      <c r="T55" s="12"/>
      <c r="U55" s="12"/>
      <c r="V55" s="13"/>
      <c r="X55" s="75"/>
      <c r="Y55" s="125"/>
      <c r="Z55" s="75"/>
      <c r="AA55" s="75"/>
      <c r="AB55" s="75"/>
    </row>
    <row r="56" spans="1:29">
      <c r="A56" s="32"/>
      <c r="B56" s="108"/>
      <c r="C56" s="108"/>
      <c r="D56" s="71"/>
      <c r="E56" s="71"/>
      <c r="F56" s="71"/>
      <c r="G56" s="14"/>
      <c r="H56" s="14"/>
      <c r="I56" s="71"/>
      <c r="J56" s="71"/>
      <c r="K56" s="14"/>
      <c r="L56" s="14"/>
      <c r="O56" s="76"/>
      <c r="P56" s="85"/>
      <c r="Q56" s="70"/>
      <c r="R56" s="118"/>
      <c r="S56" s="116"/>
      <c r="T56" s="12"/>
      <c r="U56" s="12"/>
      <c r="V56" s="13"/>
      <c r="X56" s="75"/>
      <c r="Y56" s="125"/>
      <c r="Z56" s="75"/>
      <c r="AA56" s="75"/>
      <c r="AB56" s="75"/>
    </row>
    <row r="57" spans="1:29">
      <c r="A57" s="32"/>
      <c r="B57" s="108"/>
      <c r="C57" s="108"/>
      <c r="D57" s="71"/>
      <c r="E57" s="71"/>
      <c r="F57" s="71"/>
      <c r="G57" s="14"/>
      <c r="H57" s="14"/>
      <c r="I57" s="71"/>
      <c r="J57" s="71"/>
      <c r="K57" s="14"/>
      <c r="L57" s="14"/>
      <c r="O57" s="76"/>
      <c r="P57" s="85"/>
      <c r="Q57" s="70"/>
      <c r="R57" s="118"/>
      <c r="S57" s="116"/>
      <c r="T57" s="12"/>
      <c r="U57" s="12"/>
      <c r="V57" s="13"/>
      <c r="X57" s="75"/>
      <c r="Y57" s="125"/>
      <c r="Z57" s="75"/>
      <c r="AA57" s="75"/>
      <c r="AB57" s="75"/>
    </row>
    <row r="58" spans="1:29">
      <c r="A58" s="38"/>
      <c r="B58" s="80"/>
      <c r="C58" s="80"/>
      <c r="D58" s="71"/>
      <c r="E58" s="71"/>
      <c r="F58" s="71"/>
      <c r="G58" s="14"/>
      <c r="H58" s="14"/>
      <c r="I58" s="71"/>
      <c r="J58" s="71"/>
      <c r="K58" s="14"/>
      <c r="L58" s="14"/>
      <c r="P58" s="70"/>
      <c r="Q58" s="70"/>
      <c r="R58" s="71"/>
    </row>
    <row r="59" spans="1:29">
      <c r="A59" s="86" t="s">
        <v>49</v>
      </c>
      <c r="B59" s="86"/>
      <c r="C59" s="86"/>
      <c r="D59" s="87">
        <f t="shared" ref="D59:L59" si="10">AVERAGE(D45:D57)</f>
        <v>54977.962679890348</v>
      </c>
      <c r="E59" s="87">
        <f t="shared" si="10"/>
        <v>2157.1922459893049</v>
      </c>
      <c r="F59" s="87">
        <f t="shared" si="10"/>
        <v>40621.506002718954</v>
      </c>
      <c r="G59" s="87">
        <f t="shared" si="10"/>
        <v>717.5</v>
      </c>
      <c r="H59" s="87">
        <f t="shared" si="10"/>
        <v>17853.793854246294</v>
      </c>
      <c r="I59" s="87">
        <f t="shared" si="10"/>
        <v>4616.5860120237794</v>
      </c>
      <c r="J59" s="87">
        <f t="shared" si="10"/>
        <v>11261.655120908996</v>
      </c>
      <c r="K59" s="87">
        <f t="shared" si="10"/>
        <v>13304.754999999999</v>
      </c>
      <c r="L59" s="87">
        <f t="shared" si="10"/>
        <v>207.5</v>
      </c>
      <c r="O59" s="87">
        <f>AVERAGE(O45:O54)</f>
        <v>146811.85091577767</v>
      </c>
      <c r="P59" s="87">
        <f>AVERAGE(P45:P54)</f>
        <v>306650.78888888884</v>
      </c>
      <c r="Q59" s="87">
        <f>AVERAGE(Q45:Q54)</f>
        <v>204.7</v>
      </c>
      <c r="R59" s="87">
        <f>AVERAGE(R45:R54)</f>
        <v>453462.63980466651</v>
      </c>
      <c r="T59" s="12">
        <f>MAX(T10:T54)</f>
        <v>45</v>
      </c>
    </row>
    <row r="60" spans="1:29">
      <c r="A60" s="26"/>
      <c r="B60" s="26"/>
      <c r="C60" s="26"/>
      <c r="D60" s="26"/>
      <c r="E60" s="26"/>
      <c r="F60" s="26"/>
      <c r="G60" s="26"/>
      <c r="H60" s="26"/>
      <c r="I60" s="26"/>
      <c r="J60" s="26"/>
      <c r="K60" s="26"/>
      <c r="L60" s="26"/>
      <c r="M60" s="26"/>
      <c r="N60" s="26"/>
      <c r="O60" s="26"/>
      <c r="P60" s="26"/>
      <c r="Q60" s="26"/>
      <c r="R60" s="26"/>
    </row>
    <row r="61" spans="1:29" ht="12" customHeight="1" thickBot="1">
      <c r="A61" s="197" t="s">
        <v>14</v>
      </c>
      <c r="B61" s="195"/>
      <c r="C61" s="195"/>
      <c r="D61" s="195"/>
      <c r="U61" s="12"/>
      <c r="V61" s="12"/>
    </row>
    <row r="62" spans="1:29" ht="15" customHeight="1" thickBot="1">
      <c r="A62" s="197" t="s">
        <v>8</v>
      </c>
      <c r="B62" s="195"/>
      <c r="C62" s="195"/>
      <c r="D62" s="195"/>
      <c r="R62" s="115" t="s">
        <v>76</v>
      </c>
      <c r="S62" s="29" t="s">
        <v>77</v>
      </c>
      <c r="T62" s="15" t="s">
        <v>65</v>
      </c>
      <c r="U62" s="43"/>
      <c r="V62" s="43"/>
      <c r="W62" s="43"/>
      <c r="X62" s="44"/>
    </row>
    <row r="63" spans="1:29" ht="18.75" customHeight="1" thickBot="1">
      <c r="A63" s="197" t="s">
        <v>9</v>
      </c>
      <c r="B63" s="195"/>
      <c r="C63" s="195"/>
      <c r="D63" s="195"/>
      <c r="Q63" s="88">
        <f>Read_Me!I3</f>
        <v>2015</v>
      </c>
      <c r="R63" s="89"/>
      <c r="T63" s="133" t="s">
        <v>56</v>
      </c>
      <c r="U63" s="90"/>
      <c r="V63" s="90"/>
      <c r="W63" s="91">
        <f>SUM(W11:W58)</f>
        <v>6518883205540.3076</v>
      </c>
      <c r="X63" s="134">
        <f>SUM(X11:X58)</f>
        <v>7.1725862624711541</v>
      </c>
      <c r="Y63" s="126"/>
      <c r="Z63" s="92"/>
      <c r="AA63" s="92"/>
      <c r="AB63" s="92"/>
    </row>
    <row r="64" spans="1:29" ht="18" customHeight="1" thickBot="1">
      <c r="A64" s="197" t="s">
        <v>10</v>
      </c>
      <c r="B64" s="195"/>
      <c r="C64" s="195"/>
      <c r="D64" s="195"/>
      <c r="Q64" s="15"/>
      <c r="R64" s="93">
        <f>AVERAGE(R49:R53)</f>
        <v>501136.67802203156</v>
      </c>
      <c r="S64" s="130">
        <f>R54</f>
        <v>393748</v>
      </c>
      <c r="T64" s="135" t="s">
        <v>57</v>
      </c>
      <c r="U64" s="94"/>
      <c r="V64" s="94"/>
      <c r="W64" s="95">
        <f>SQRT(W63/U3)</f>
        <v>389360.93154368392</v>
      </c>
      <c r="X64" s="136">
        <f>X63/COUNTA(X11:X58)</f>
        <v>0.16301332414707168</v>
      </c>
      <c r="Y64" s="185"/>
      <c r="Z64" s="186"/>
      <c r="AA64" s="186"/>
      <c r="AB64" s="186"/>
      <c r="AC64" s="70"/>
    </row>
    <row r="65" spans="1:29" ht="14.25" customHeight="1">
      <c r="A65" s="197" t="s">
        <v>11</v>
      </c>
      <c r="B65" s="195"/>
      <c r="C65" s="195"/>
      <c r="D65" s="195"/>
      <c r="Q65" s="96" t="s">
        <v>2</v>
      </c>
      <c r="R65" s="102">
        <f>COUNTA(R50:R54)</f>
        <v>5</v>
      </c>
      <c r="S65" s="131">
        <f>U3+1</f>
        <v>44</v>
      </c>
      <c r="T65" s="135" t="s">
        <v>58</v>
      </c>
      <c r="U65" s="94"/>
      <c r="V65" s="94"/>
      <c r="W65" s="137"/>
      <c r="X65" s="136">
        <f>X64*0.8</f>
        <v>0.13041065931765736</v>
      </c>
      <c r="Y65" s="185"/>
      <c r="Z65" s="186"/>
      <c r="AA65" s="186"/>
      <c r="AB65" s="186"/>
      <c r="AC65" s="70"/>
    </row>
    <row r="66" spans="1:29" ht="16.5" customHeight="1" thickBot="1">
      <c r="A66" s="198" t="s">
        <v>12</v>
      </c>
      <c r="B66" s="184"/>
      <c r="C66" s="184"/>
      <c r="D66" s="184"/>
      <c r="Q66" s="103" t="s">
        <v>71</v>
      </c>
      <c r="R66" s="104">
        <v>0.8</v>
      </c>
      <c r="S66" s="132">
        <v>0.8</v>
      </c>
      <c r="T66" s="138" t="s">
        <v>59</v>
      </c>
      <c r="U66" s="139"/>
      <c r="V66" s="139"/>
      <c r="W66" s="140">
        <f>W64*$U$4</f>
        <v>507337.29380142014</v>
      </c>
      <c r="X66" s="141">
        <f>W66/V54</f>
        <v>1.0477499899771254</v>
      </c>
      <c r="Y66" s="185"/>
      <c r="Z66" s="186"/>
      <c r="AA66" s="186"/>
      <c r="AB66" s="186"/>
      <c r="AC66" s="70"/>
    </row>
    <row r="67" spans="1:29" ht="13.5" customHeight="1">
      <c r="A67" s="198" t="s">
        <v>6</v>
      </c>
      <c r="B67" s="184"/>
      <c r="C67" s="184"/>
      <c r="D67" s="184"/>
      <c r="Q67" s="96" t="s">
        <v>69</v>
      </c>
      <c r="R67" s="97">
        <f>STDEV(R50:R54)</f>
        <v>91373.398111453324</v>
      </c>
      <c r="S67" s="97">
        <f>Forecast_Evaluation_Total_Run!M54</f>
        <v>389353.93394458055</v>
      </c>
      <c r="Y67" s="187"/>
      <c r="Z67" s="70"/>
      <c r="AA67" s="70"/>
      <c r="AB67" s="70"/>
      <c r="AC67" s="70"/>
    </row>
    <row r="68" spans="1:29" ht="16" thickBot="1">
      <c r="B68" s="184"/>
      <c r="C68" s="184"/>
      <c r="D68" s="184"/>
      <c r="Q68" s="96" t="s">
        <v>70</v>
      </c>
      <c r="R68" s="100">
        <f>TINV(1-R66,R65-1)</f>
        <v>1.5332062740589445</v>
      </c>
      <c r="S68" s="100">
        <f>TINV(1-S66,S65-1)</f>
        <v>1.3015516076821718</v>
      </c>
    </row>
    <row r="69" spans="1:29" ht="14.25" customHeight="1">
      <c r="B69" s="184"/>
      <c r="C69" s="184"/>
      <c r="D69" s="184"/>
      <c r="Q69" s="96" t="s">
        <v>22</v>
      </c>
      <c r="R69" s="101">
        <f>R68*R67*(SQRT(1+(1/R65)))</f>
        <v>153465.58071811154</v>
      </c>
      <c r="S69" s="101">
        <f>S68*S67*(SQRT(1+(1/S65)))</f>
        <v>512490.57003199862</v>
      </c>
      <c r="T69" s="15" t="s">
        <v>66</v>
      </c>
      <c r="U69" s="43"/>
      <c r="V69" s="43"/>
      <c r="W69" s="43"/>
      <c r="X69" s="43"/>
      <c r="Y69" s="127"/>
      <c r="Z69" s="44"/>
    </row>
    <row r="70" spans="1:29">
      <c r="Q70" s="16"/>
      <c r="R70" s="51"/>
      <c r="S70" s="51"/>
      <c r="T70" s="16"/>
      <c r="U70" s="26" t="s">
        <v>67</v>
      </c>
      <c r="V70" s="98">
        <f>(SUM((V54-R48)^2)/(U3-1))^1/2</f>
        <v>38078327.135263801</v>
      </c>
      <c r="W70" s="26"/>
      <c r="X70" s="26"/>
      <c r="Y70" s="128"/>
      <c r="Z70" s="51"/>
    </row>
    <row r="71" spans="1:29">
      <c r="A71" s="11" t="s">
        <v>7</v>
      </c>
      <c r="Q71" s="96" t="s">
        <v>19</v>
      </c>
      <c r="R71" s="191">
        <f>IF(R69&gt;R64,0,R64-R69)</f>
        <v>347671.09730392002</v>
      </c>
      <c r="S71" s="248">
        <f>IF(S69&gt;S64,0,S64-S69)</f>
        <v>0</v>
      </c>
      <c r="T71" s="16"/>
      <c r="U71" s="26" t="s">
        <v>68</v>
      </c>
      <c r="V71" s="26"/>
      <c r="W71" s="26"/>
      <c r="X71" s="26"/>
      <c r="Y71" s="128"/>
      <c r="Z71" s="51"/>
    </row>
    <row r="72" spans="1:29" ht="13" thickBot="1">
      <c r="Q72" s="96" t="s">
        <v>20</v>
      </c>
      <c r="R72" s="191">
        <f>R64</f>
        <v>501136.67802203156</v>
      </c>
      <c r="S72" s="248">
        <f>S64</f>
        <v>393748</v>
      </c>
      <c r="T72" s="17"/>
      <c r="U72" s="18"/>
      <c r="V72" s="18"/>
      <c r="W72" s="18"/>
      <c r="X72" s="18"/>
      <c r="Y72" s="129"/>
      <c r="Z72" s="19"/>
    </row>
    <row r="73" spans="1:29" ht="13" thickBot="1">
      <c r="Q73" s="99" t="s">
        <v>21</v>
      </c>
      <c r="R73" s="192">
        <f>(R69+R64)</f>
        <v>654602.25874014315</v>
      </c>
      <c r="S73" s="249">
        <f>(S69+S64)</f>
        <v>906238.57003199868</v>
      </c>
    </row>
  </sheetData>
  <mergeCells count="5">
    <mergeCell ref="A2:J2"/>
    <mergeCell ref="P3:Q3"/>
    <mergeCell ref="O4:P4"/>
    <mergeCell ref="O5:P5"/>
    <mergeCell ref="O6:P6"/>
  </mergeCells>
  <phoneticPr fontId="14" type="noConversion"/>
  <pageMargins left="0.75" right="0.75" top="1" bottom="1" header="0.5" footer="0.5"/>
  <pageSetup scale="48" orientation="landscape"/>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3:G28"/>
  <sheetViews>
    <sheetView workbookViewId="0">
      <selection activeCell="E41" sqref="E41"/>
    </sheetView>
  </sheetViews>
  <sheetFormatPr baseColWidth="10" defaultColWidth="8.83203125" defaultRowHeight="12" x14ac:dyDescent="0"/>
  <cols>
    <col min="1" max="1" width="41.6640625" customWidth="1"/>
    <col min="2" max="2" width="12" customWidth="1"/>
    <col min="5" max="5" width="11.1640625" bestFit="1" customWidth="1"/>
    <col min="6" max="6" width="10.33203125" customWidth="1"/>
    <col min="7" max="7" width="17" customWidth="1"/>
  </cols>
  <sheetData>
    <row r="3" spans="1:7" ht="16">
      <c r="A3" s="142" t="s">
        <v>122</v>
      </c>
    </row>
    <row r="4" spans="1:7" ht="15">
      <c r="A4" s="24"/>
    </row>
    <row r="5" spans="1:7" ht="15">
      <c r="A5" s="143" t="s">
        <v>79</v>
      </c>
      <c r="B5" s="154">
        <f>Fcst_YR</f>
        <v>2015</v>
      </c>
      <c r="C5" s="24"/>
      <c r="D5" s="24"/>
      <c r="E5" s="24"/>
      <c r="F5" s="24"/>
      <c r="G5" s="24"/>
    </row>
    <row r="6" spans="1:7" ht="15">
      <c r="A6" s="143"/>
      <c r="B6" s="155"/>
      <c r="C6" s="24"/>
      <c r="D6" s="24"/>
      <c r="E6" s="24"/>
      <c r="F6" s="24"/>
      <c r="G6" s="24"/>
    </row>
    <row r="7" spans="1:7" ht="15">
      <c r="A7" s="144"/>
      <c r="B7" s="257" t="s">
        <v>97</v>
      </c>
      <c r="C7" s="257"/>
      <c r="D7" s="257"/>
      <c r="E7" s="144"/>
      <c r="F7" s="144"/>
      <c r="G7" s="144"/>
    </row>
    <row r="8" spans="1:7" ht="15">
      <c r="A8" s="145" t="s">
        <v>80</v>
      </c>
      <c r="B8" s="145" t="s">
        <v>98</v>
      </c>
      <c r="C8" s="156" t="s">
        <v>99</v>
      </c>
      <c r="D8" s="156" t="s">
        <v>100</v>
      </c>
      <c r="E8" s="145" t="s">
        <v>2</v>
      </c>
      <c r="F8" s="145" t="s">
        <v>101</v>
      </c>
      <c r="G8" s="145" t="s">
        <v>102</v>
      </c>
    </row>
    <row r="9" spans="1:7" ht="15">
      <c r="A9" s="146" t="s">
        <v>81</v>
      </c>
    </row>
    <row r="10" spans="1:7" ht="13.5" customHeight="1">
      <c r="A10" s="147" t="s">
        <v>82</v>
      </c>
      <c r="B10" s="215">
        <f>Forecast_Evaluation_Total_Run!E53</f>
        <v>484215.98535400262</v>
      </c>
      <c r="C10" s="216"/>
      <c r="D10" s="216"/>
      <c r="E10" s="222">
        <f>Forecast_Evaluation_Total_Run!AG$55</f>
        <v>44</v>
      </c>
      <c r="F10" s="220">
        <f>Forecast_Evaluation_Total_Run!AG$53</f>
        <v>0.4422300758838949</v>
      </c>
      <c r="G10" s="220">
        <f>Forecast_Evaluation_Total_Run!AG$54</f>
        <v>0.63259821351024792</v>
      </c>
    </row>
    <row r="11" spans="1:7" ht="13.5" customHeight="1">
      <c r="A11" s="147" t="s">
        <v>83</v>
      </c>
      <c r="B11" s="215">
        <f>Forecast_Evaluation_Total_Run!G53</f>
        <v>437660.84188335051</v>
      </c>
      <c r="C11" s="216"/>
      <c r="D11" s="216"/>
      <c r="E11" s="222">
        <f>Forecast_Evaluation_Total_Run!AH$55</f>
        <v>43</v>
      </c>
      <c r="F11" s="220">
        <f>Forecast_Evaluation_Total_Run!AH$53</f>
        <v>0.52259589455297084</v>
      </c>
      <c r="G11" s="220">
        <f>Forecast_Evaluation_Total_Run!AH$54</f>
        <v>0.82793075544592654</v>
      </c>
    </row>
    <row r="12" spans="1:7" ht="13.5" customHeight="1">
      <c r="A12" s="147" t="s">
        <v>84</v>
      </c>
      <c r="B12" s="215">
        <f>Forecast_Evaluation_Total_Run!H53</f>
        <v>477616.55067355646</v>
      </c>
      <c r="C12" s="216"/>
      <c r="D12" s="216"/>
      <c r="E12" s="222">
        <f>Forecast_Evaluation_Total_Run!AI$55</f>
        <v>42</v>
      </c>
      <c r="F12" s="220">
        <f>Forecast_Evaluation_Total_Run!AI$53</f>
        <v>0.54647690649975356</v>
      </c>
      <c r="G12" s="220">
        <f>Forecast_Evaluation_Total_Run!AI$54</f>
        <v>0.78510043669818297</v>
      </c>
    </row>
    <row r="13" spans="1:7" ht="13.5" customHeight="1">
      <c r="A13" s="147" t="s">
        <v>85</v>
      </c>
      <c r="B13" s="215">
        <f>Forecast_Evaluation_Total_Run!I53</f>
        <v>505690.75625769811</v>
      </c>
      <c r="C13" s="216"/>
      <c r="D13" s="216"/>
      <c r="E13" s="222">
        <f>Forecast_Evaluation_Total_Run!AJ$55</f>
        <v>41</v>
      </c>
      <c r="F13" s="220">
        <f>Forecast_Evaluation_Total_Run!AJ$53</f>
        <v>0.5890701963264855</v>
      </c>
      <c r="G13" s="220">
        <f>Forecast_Evaluation_Total_Run!AJ$54</f>
        <v>0.90940522507217347</v>
      </c>
    </row>
    <row r="14" spans="1:7" ht="13.5" customHeight="1">
      <c r="A14" s="147" t="s">
        <v>86</v>
      </c>
      <c r="B14" s="215">
        <f>Forecast_Evaluation_Total_Run!J53</f>
        <v>501136.67802203156</v>
      </c>
      <c r="C14" s="216"/>
      <c r="D14" s="216"/>
      <c r="E14" s="222">
        <f>Forecast_Evaluation_Total_Run!AK$55</f>
        <v>40</v>
      </c>
      <c r="F14" s="220">
        <f>Forecast_Evaluation_Total_Run!AK$53</f>
        <v>0.61282144468114641</v>
      </c>
      <c r="G14" s="220">
        <f>Forecast_Evaluation_Total_Run!AK$54</f>
        <v>0.96534680742974888</v>
      </c>
    </row>
    <row r="15" spans="1:7" ht="13.5" customHeight="1">
      <c r="A15" s="147" t="s">
        <v>87</v>
      </c>
      <c r="B15" s="215">
        <f>Forecast_Evaluation_Total_Run!K53</f>
        <v>464446.85012212687</v>
      </c>
      <c r="C15" s="216"/>
      <c r="D15" s="216"/>
      <c r="E15" s="222">
        <f>Forecast_Evaluation_Total_Run!AL$55</f>
        <v>35</v>
      </c>
      <c r="F15" s="220">
        <f>Forecast_Evaluation_Total_Run!AL$53</f>
        <v>0.75437562911547473</v>
      </c>
      <c r="G15" s="220">
        <f>Forecast_Evaluation_Total_Run!AL$54</f>
        <v>1.0577404653635933</v>
      </c>
    </row>
    <row r="16" spans="1:7" ht="15">
      <c r="A16" s="24"/>
    </row>
    <row r="17" spans="1:1" ht="15">
      <c r="A17" s="148" t="s">
        <v>88</v>
      </c>
    </row>
    <row r="18" spans="1:1" ht="16.5" customHeight="1">
      <c r="A18" s="24" t="s">
        <v>89</v>
      </c>
    </row>
    <row r="19" spans="1:1" ht="16.5" customHeight="1">
      <c r="A19" s="24" t="s">
        <v>90</v>
      </c>
    </row>
    <row r="20" spans="1:1" ht="16.5" customHeight="1">
      <c r="A20" s="24" t="s">
        <v>91</v>
      </c>
    </row>
    <row r="21" spans="1:1" ht="16.5" customHeight="1">
      <c r="A21" s="149" t="s">
        <v>92</v>
      </c>
    </row>
    <row r="22" spans="1:1" ht="15">
      <c r="A22" s="24"/>
    </row>
    <row r="23" spans="1:1" ht="15">
      <c r="A23" s="150" t="s">
        <v>93</v>
      </c>
    </row>
    <row r="24" spans="1:1" ht="15">
      <c r="A24" s="151"/>
    </row>
    <row r="25" spans="1:1" ht="15">
      <c r="A25" s="152" t="s">
        <v>94</v>
      </c>
    </row>
    <row r="26" spans="1:1" ht="15">
      <c r="A26" s="153" t="s">
        <v>95</v>
      </c>
    </row>
    <row r="27" spans="1:1" ht="15">
      <c r="A27" s="24"/>
    </row>
    <row r="28" spans="1:1" ht="15">
      <c r="A28" s="24" t="s">
        <v>96</v>
      </c>
    </row>
  </sheetData>
  <mergeCells count="1">
    <mergeCell ref="B7:D7"/>
  </mergeCells>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2:AL80"/>
  <sheetViews>
    <sheetView zoomScale="75" zoomScaleNormal="75" zoomScalePageLayoutView="75" workbookViewId="0">
      <pane xSplit="1" ySplit="3" topLeftCell="B4" activePane="bottomRight" state="frozen"/>
      <selection pane="topRight" activeCell="B1" sqref="B1"/>
      <selection pane="bottomLeft" activeCell="A4" sqref="A4"/>
      <selection pane="bottomRight" activeCell="U67" sqref="U67"/>
    </sheetView>
  </sheetViews>
  <sheetFormatPr baseColWidth="10" defaultColWidth="9.33203125" defaultRowHeight="12" x14ac:dyDescent="0"/>
  <cols>
    <col min="1" max="1" width="9.33203125" style="11"/>
    <col min="2" max="3" width="14.6640625" style="11" customWidth="1"/>
    <col min="4" max="4" width="9.33203125" style="11"/>
    <col min="5" max="5" width="12" style="11" customWidth="1"/>
    <col min="6" max="6" width="5" style="11" customWidth="1"/>
    <col min="7" max="11" width="11.33203125" style="11" customWidth="1"/>
    <col min="12" max="12" width="12.33203125" style="11" customWidth="1"/>
    <col min="13" max="18" width="15.1640625" style="11" customWidth="1"/>
    <col min="19" max="19" width="11.1640625" style="11" customWidth="1"/>
    <col min="20" max="20" width="18" style="11" customWidth="1"/>
    <col min="21" max="21" width="24.83203125" style="11" customWidth="1"/>
    <col min="22" max="26" width="13.5" style="11" bestFit="1" customWidth="1"/>
    <col min="27" max="30" width="9.33203125" style="11"/>
    <col min="31" max="31" width="6" style="11" customWidth="1"/>
    <col min="32" max="32" width="12.83203125" style="11" customWidth="1"/>
    <col min="33" max="38" width="13.83203125" style="11" customWidth="1"/>
    <col min="39" max="16384" width="9.33203125" style="11"/>
  </cols>
  <sheetData>
    <row r="2" spans="1:38" ht="19" thickBot="1">
      <c r="E2" s="110"/>
      <c r="F2" s="110"/>
      <c r="G2" s="111"/>
      <c r="H2" s="112" t="s">
        <v>75</v>
      </c>
      <c r="I2" s="110"/>
      <c r="J2" s="110"/>
      <c r="K2" s="110"/>
      <c r="M2" s="110"/>
      <c r="N2" s="110"/>
      <c r="O2" s="113" t="s">
        <v>41</v>
      </c>
      <c r="P2" s="110"/>
      <c r="Q2" s="110"/>
      <c r="R2" s="110"/>
      <c r="U2" s="110"/>
      <c r="V2" s="113" t="s">
        <v>118</v>
      </c>
      <c r="W2" s="110"/>
      <c r="X2" s="110"/>
      <c r="Y2" s="110"/>
      <c r="Z2" s="110"/>
      <c r="AG2" s="110"/>
      <c r="AH2" s="113" t="s">
        <v>116</v>
      </c>
      <c r="AI2" s="110"/>
      <c r="AJ2" s="110"/>
      <c r="AK2" s="110"/>
      <c r="AL2" s="110"/>
    </row>
    <row r="3" spans="1:38" s="109" customFormat="1" ht="25" thickTop="1">
      <c r="A3" s="109" t="s">
        <v>32</v>
      </c>
      <c r="B3" s="109" t="s">
        <v>33</v>
      </c>
      <c r="C3" s="109" t="s">
        <v>34</v>
      </c>
      <c r="E3" s="109" t="s">
        <v>35</v>
      </c>
      <c r="G3" s="109" t="s">
        <v>36</v>
      </c>
      <c r="H3" s="109" t="s">
        <v>37</v>
      </c>
      <c r="I3" s="109" t="s">
        <v>38</v>
      </c>
      <c r="J3" s="109" t="s">
        <v>39</v>
      </c>
      <c r="K3" s="109" t="s">
        <v>40</v>
      </c>
      <c r="M3" s="109" t="s">
        <v>35</v>
      </c>
      <c r="N3" s="109" t="s">
        <v>36</v>
      </c>
      <c r="O3" s="109" t="s">
        <v>37</v>
      </c>
      <c r="P3" s="109" t="s">
        <v>38</v>
      </c>
      <c r="Q3" s="109" t="s">
        <v>39</v>
      </c>
      <c r="R3" s="109" t="s">
        <v>40</v>
      </c>
      <c r="U3" s="109" t="s">
        <v>35</v>
      </c>
      <c r="V3" s="109" t="s">
        <v>36</v>
      </c>
      <c r="W3" s="109" t="s">
        <v>37</v>
      </c>
      <c r="X3" s="109" t="s">
        <v>38</v>
      </c>
      <c r="Y3" s="109" t="s">
        <v>39</v>
      </c>
      <c r="Z3" s="109" t="s">
        <v>40</v>
      </c>
      <c r="AG3" s="109" t="s">
        <v>35</v>
      </c>
      <c r="AH3" s="109" t="s">
        <v>36</v>
      </c>
      <c r="AI3" s="109" t="s">
        <v>37</v>
      </c>
      <c r="AJ3" s="109" t="s">
        <v>38</v>
      </c>
      <c r="AK3" s="109" t="s">
        <v>39</v>
      </c>
      <c r="AL3" s="109" t="s">
        <v>40</v>
      </c>
    </row>
    <row r="4" spans="1:38">
      <c r="A4" s="114">
        <f>WILD_CHUM_DATA!A10</f>
        <v>1970</v>
      </c>
      <c r="B4" s="72">
        <f>WILD_CHUM_DATA!O10</f>
        <v>230661</v>
      </c>
      <c r="C4" s="72">
        <f>WILD_CHUM_DATA!R10</f>
        <v>292211</v>
      </c>
    </row>
    <row r="5" spans="1:38">
      <c r="A5" s="114">
        <f>WILD_CHUM_DATA!A11</f>
        <v>1971</v>
      </c>
      <c r="B5" s="72">
        <f>WILD_CHUM_DATA!O11</f>
        <v>574265</v>
      </c>
      <c r="C5" s="72">
        <f>WILD_CHUM_DATA!R11</f>
        <v>684035</v>
      </c>
      <c r="E5" s="72">
        <f>C4</f>
        <v>292211</v>
      </c>
      <c r="F5" s="13"/>
      <c r="M5" s="72">
        <f>(E5-C5)</f>
        <v>-391824</v>
      </c>
      <c r="U5" s="162">
        <f>($M5/$C5)</f>
        <v>-0.57281279466693957</v>
      </c>
      <c r="V5" s="159"/>
      <c r="W5" s="159"/>
      <c r="X5" s="159"/>
      <c r="Y5" s="159"/>
      <c r="Z5" s="159"/>
      <c r="AG5" s="162">
        <f t="shared" ref="AG5:AG48" si="0">ABS(($M5/$C5))</f>
        <v>0.57281279466693957</v>
      </c>
    </row>
    <row r="6" spans="1:38">
      <c r="A6" s="114">
        <f>WILD_CHUM_DATA!A12</f>
        <v>1972</v>
      </c>
      <c r="B6" s="72">
        <f>WILD_CHUM_DATA!O12</f>
        <v>45370</v>
      </c>
      <c r="C6" s="72">
        <f>WILD_CHUM_DATA!R12</f>
        <v>314560</v>
      </c>
      <c r="E6" s="72">
        <f t="shared" ref="E6:E43" si="1">C5</f>
        <v>684035</v>
      </c>
      <c r="F6" s="13"/>
      <c r="G6" s="72">
        <f>AVERAGE(C4:C5)</f>
        <v>488123</v>
      </c>
      <c r="M6" s="72">
        <f t="shared" ref="M6:M46" si="2">(E6-C6)</f>
        <v>369475</v>
      </c>
      <c r="N6" s="20">
        <f>(G6-C6)</f>
        <v>173563</v>
      </c>
      <c r="U6" s="162">
        <f t="shared" ref="U6:U45" si="3">($M6/$C6)</f>
        <v>1.1745771871820956</v>
      </c>
      <c r="V6" s="160">
        <f t="shared" ref="V6:V48" si="4">($N6/$C6)</f>
        <v>0.55176436927772121</v>
      </c>
      <c r="W6" s="159"/>
      <c r="X6" s="159"/>
      <c r="Y6" s="159"/>
      <c r="Z6" s="159"/>
      <c r="AG6" s="162">
        <f t="shared" si="0"/>
        <v>1.1745771871820956</v>
      </c>
      <c r="AH6" s="162">
        <f t="shared" ref="AH6:AH48" si="5">ABS($N6/$C6)</f>
        <v>0.55176436927772121</v>
      </c>
    </row>
    <row r="7" spans="1:38">
      <c r="A7" s="114">
        <f>WILD_CHUM_DATA!A13</f>
        <v>1973</v>
      </c>
      <c r="B7" s="72">
        <f>WILD_CHUM_DATA!O13</f>
        <v>729839</v>
      </c>
      <c r="C7" s="72">
        <f>WILD_CHUM_DATA!R13</f>
        <v>1221109</v>
      </c>
      <c r="E7" s="72">
        <f t="shared" si="1"/>
        <v>314560</v>
      </c>
      <c r="F7" s="13"/>
      <c r="G7" s="72">
        <f t="shared" ref="G7:G43" si="6">AVERAGE(C5:C6)</f>
        <v>499297.5</v>
      </c>
      <c r="H7" s="72">
        <f>AVERAGE(C4:C6)</f>
        <v>430268.66666666669</v>
      </c>
      <c r="M7" s="72">
        <f t="shared" si="2"/>
        <v>-906549</v>
      </c>
      <c r="N7" s="20">
        <f t="shared" ref="N7:N46" si="7">(G7-C7)</f>
        <v>-721811.5</v>
      </c>
      <c r="O7" s="72">
        <f>(H7-C7)</f>
        <v>-790840.33333333326</v>
      </c>
      <c r="U7" s="162">
        <f>($M7/$C7)</f>
        <v>-0.7423980987774228</v>
      </c>
      <c r="V7" s="160">
        <f t="shared" si="4"/>
        <v>-0.59111144050203546</v>
      </c>
      <c r="W7" s="162">
        <f t="shared" ref="W7:W48" si="8">($O7/$C7)</f>
        <v>-0.64764106507554464</v>
      </c>
      <c r="X7" s="159"/>
      <c r="Y7" s="159"/>
      <c r="Z7" s="159"/>
      <c r="AG7" s="162">
        <f t="shared" si="0"/>
        <v>0.7423980987774228</v>
      </c>
      <c r="AH7" s="162">
        <f t="shared" si="5"/>
        <v>0.59111144050203546</v>
      </c>
      <c r="AI7" s="162">
        <f t="shared" ref="AI7:AI48" si="9">ABS(($O7/$C7))</f>
        <v>0.64764106507554464</v>
      </c>
    </row>
    <row r="8" spans="1:38">
      <c r="A8" s="114">
        <f>WILD_CHUM_DATA!A14</f>
        <v>1974</v>
      </c>
      <c r="B8" s="72">
        <f>WILD_CHUM_DATA!O14</f>
        <v>88544</v>
      </c>
      <c r="C8" s="72">
        <f>WILD_CHUM_DATA!R14</f>
        <v>255444</v>
      </c>
      <c r="E8" s="72">
        <f t="shared" si="1"/>
        <v>1221109</v>
      </c>
      <c r="F8" s="13"/>
      <c r="G8" s="72">
        <f t="shared" si="6"/>
        <v>767834.5</v>
      </c>
      <c r="H8" s="72">
        <f t="shared" ref="H8:H43" si="10">AVERAGE(C5:C7)</f>
        <v>739901.33333333337</v>
      </c>
      <c r="I8" s="72">
        <f>AVERAGE(C4:C7)</f>
        <v>627978.75</v>
      </c>
      <c r="M8" s="72">
        <f t="shared" si="2"/>
        <v>965665</v>
      </c>
      <c r="N8" s="20">
        <f t="shared" si="7"/>
        <v>512390.5</v>
      </c>
      <c r="O8" s="72">
        <f t="shared" ref="O8:O46" si="11">(H8-C8)</f>
        <v>484457.33333333337</v>
      </c>
      <c r="P8" s="20">
        <f>(I8-C8)</f>
        <v>372534.75</v>
      </c>
      <c r="U8" s="162">
        <f t="shared" si="3"/>
        <v>3.7803393307339377</v>
      </c>
      <c r="V8" s="160">
        <f t="shared" si="4"/>
        <v>2.0058819154100314</v>
      </c>
      <c r="W8" s="162">
        <f t="shared" si="8"/>
        <v>1.8965304854814886</v>
      </c>
      <c r="X8" s="160">
        <f t="shared" ref="X8:X48" si="12">($P8/$C8)</f>
        <v>1.4583812890496548</v>
      </c>
      <c r="Y8" s="159"/>
      <c r="Z8" s="159"/>
      <c r="AG8" s="162">
        <f t="shared" si="0"/>
        <v>3.7803393307339377</v>
      </c>
      <c r="AH8" s="162">
        <f t="shared" si="5"/>
        <v>2.0058819154100314</v>
      </c>
      <c r="AI8" s="162">
        <f t="shared" si="9"/>
        <v>1.8965304854814886</v>
      </c>
      <c r="AJ8" s="162">
        <f t="shared" ref="AJ8:AJ48" si="13">ABS(($P8/$C8))</f>
        <v>1.4583812890496548</v>
      </c>
    </row>
    <row r="9" spans="1:38">
      <c r="A9" s="114">
        <f>WILD_CHUM_DATA!A15</f>
        <v>1975</v>
      </c>
      <c r="B9" s="72">
        <f>WILD_CHUM_DATA!O15</f>
        <v>100479</v>
      </c>
      <c r="C9" s="72">
        <f>WILD_CHUM_DATA!R15</f>
        <v>125504.71428571429</v>
      </c>
      <c r="E9" s="72">
        <f t="shared" si="1"/>
        <v>255444</v>
      </c>
      <c r="F9" s="13"/>
      <c r="G9" s="72">
        <f t="shared" si="6"/>
        <v>738276.5</v>
      </c>
      <c r="H9" s="72">
        <f t="shared" si="10"/>
        <v>597037.66666666663</v>
      </c>
      <c r="I9" s="72">
        <f t="shared" ref="I9:I44" si="14">AVERAGE(C5:C8)</f>
        <v>618787</v>
      </c>
      <c r="J9" s="72">
        <f>AVERAGE(C4:C8)</f>
        <v>553471.80000000005</v>
      </c>
      <c r="M9" s="72">
        <f t="shared" si="2"/>
        <v>129939.28571428571</v>
      </c>
      <c r="N9" s="20">
        <f t="shared" si="7"/>
        <v>612771.78571428568</v>
      </c>
      <c r="O9" s="72">
        <f t="shared" si="11"/>
        <v>471532.95238095231</v>
      </c>
      <c r="P9" s="20">
        <f t="shared" ref="P9:P46" si="15">(I9-C9)</f>
        <v>493282.28571428568</v>
      </c>
      <c r="Q9" s="72">
        <f>(J9-C9)</f>
        <v>427967.08571428573</v>
      </c>
      <c r="U9" s="162">
        <f t="shared" si="3"/>
        <v>1.0353339032227589</v>
      </c>
      <c r="V9" s="160">
        <f t="shared" si="4"/>
        <v>4.882460305987367</v>
      </c>
      <c r="W9" s="162">
        <f t="shared" si="8"/>
        <v>3.757093548753053</v>
      </c>
      <c r="X9" s="160">
        <f t="shared" si="12"/>
        <v>3.930388499919752</v>
      </c>
      <c r="Y9" s="162">
        <f t="shared" ref="Y9:Y48" si="16">($Q9/$C9)</f>
        <v>3.4099682083655365</v>
      </c>
      <c r="Z9" s="159"/>
      <c r="AG9" s="162">
        <f t="shared" si="0"/>
        <v>1.0353339032227589</v>
      </c>
      <c r="AH9" s="162">
        <f t="shared" si="5"/>
        <v>4.882460305987367</v>
      </c>
      <c r="AI9" s="162">
        <f t="shared" si="9"/>
        <v>3.757093548753053</v>
      </c>
      <c r="AJ9" s="162">
        <f t="shared" si="13"/>
        <v>3.930388499919752</v>
      </c>
      <c r="AK9" s="162">
        <f t="shared" ref="AK9:AK48" si="17">ABS(($Q9/$C9))</f>
        <v>3.4099682083655365</v>
      </c>
    </row>
    <row r="10" spans="1:38">
      <c r="A10" s="114">
        <f>WILD_CHUM_DATA!A16</f>
        <v>1976</v>
      </c>
      <c r="B10" s="72">
        <f>WILD_CHUM_DATA!O16</f>
        <v>370478</v>
      </c>
      <c r="C10" s="72">
        <f>WILD_CHUM_DATA!R16</f>
        <v>460922.92063492065</v>
      </c>
      <c r="E10" s="72">
        <f t="shared" si="1"/>
        <v>125504.71428571429</v>
      </c>
      <c r="F10" s="13"/>
      <c r="G10" s="72">
        <f t="shared" si="6"/>
        <v>190474.35714285716</v>
      </c>
      <c r="H10" s="72">
        <f t="shared" si="10"/>
        <v>534019.23809523811</v>
      </c>
      <c r="I10" s="72">
        <f t="shared" si="14"/>
        <v>479154.42857142858</v>
      </c>
      <c r="J10" s="72">
        <f t="shared" ref="J10:J43" si="18">AVERAGE(C5:C9)</f>
        <v>520130.54285714281</v>
      </c>
      <c r="M10" s="72">
        <f t="shared" si="2"/>
        <v>-335418.20634920639</v>
      </c>
      <c r="N10" s="20">
        <f t="shared" si="7"/>
        <v>-270448.56349206349</v>
      </c>
      <c r="O10" s="72">
        <f t="shared" si="11"/>
        <v>73096.317460317456</v>
      </c>
      <c r="P10" s="20">
        <f t="shared" si="15"/>
        <v>18231.507936507929</v>
      </c>
      <c r="Q10" s="72">
        <f t="shared" ref="Q10:Q46" si="19">(J10-C10)</f>
        <v>59207.622222222155</v>
      </c>
      <c r="U10" s="162">
        <f t="shared" si="3"/>
        <v>-0.72770997347488886</v>
      </c>
      <c r="V10" s="160">
        <f t="shared" si="4"/>
        <v>-0.58675442548945278</v>
      </c>
      <c r="W10" s="162">
        <f t="shared" si="8"/>
        <v>0.15858685734184663</v>
      </c>
      <c r="X10" s="160">
        <f t="shared" si="12"/>
        <v>3.9554353060581263E-2</v>
      </c>
      <c r="Y10" s="162">
        <f t="shared" si="16"/>
        <v>0.12845449764282441</v>
      </c>
      <c r="Z10" s="159"/>
      <c r="AG10" s="162">
        <f t="shared" si="0"/>
        <v>0.72770997347488886</v>
      </c>
      <c r="AH10" s="162">
        <f t="shared" si="5"/>
        <v>0.58675442548945278</v>
      </c>
      <c r="AI10" s="162">
        <f t="shared" si="9"/>
        <v>0.15858685734184663</v>
      </c>
      <c r="AJ10" s="162">
        <f t="shared" si="13"/>
        <v>3.9554353060581263E-2</v>
      </c>
      <c r="AK10" s="162">
        <f t="shared" si="17"/>
        <v>0.12845449764282441</v>
      </c>
    </row>
    <row r="11" spans="1:38">
      <c r="A11" s="114">
        <f>WILD_CHUM_DATA!A17</f>
        <v>1977</v>
      </c>
      <c r="B11" s="72">
        <f>WILD_CHUM_DATA!O17</f>
        <v>575839</v>
      </c>
      <c r="C11" s="72">
        <f>WILD_CHUM_DATA!R17</f>
        <v>698076.1825396826</v>
      </c>
      <c r="E11" s="72">
        <f t="shared" si="1"/>
        <v>460922.92063492065</v>
      </c>
      <c r="F11" s="13"/>
      <c r="G11" s="72">
        <f t="shared" si="6"/>
        <v>293213.81746031746</v>
      </c>
      <c r="H11" s="72">
        <f t="shared" si="10"/>
        <v>280623.87830687832</v>
      </c>
      <c r="I11" s="72">
        <f t="shared" si="14"/>
        <v>515745.15873015876</v>
      </c>
      <c r="J11" s="72">
        <f t="shared" si="18"/>
        <v>475508.12698412698</v>
      </c>
      <c r="M11" s="72">
        <f t="shared" si="2"/>
        <v>-237153.26190476195</v>
      </c>
      <c r="N11" s="20">
        <f t="shared" si="7"/>
        <v>-404862.36507936515</v>
      </c>
      <c r="O11" s="72">
        <f t="shared" si="11"/>
        <v>-417452.30423280428</v>
      </c>
      <c r="P11" s="20">
        <f t="shared" si="15"/>
        <v>-182331.02380952385</v>
      </c>
      <c r="Q11" s="72">
        <f t="shared" si="19"/>
        <v>-222568.05555555562</v>
      </c>
      <c r="U11" s="162">
        <f t="shared" si="3"/>
        <v>-0.33972404135315248</v>
      </c>
      <c r="V11" s="160">
        <f t="shared" si="4"/>
        <v>-0.57996874152965461</v>
      </c>
      <c r="W11" s="162">
        <f t="shared" si="8"/>
        <v>-0.59800393520670492</v>
      </c>
      <c r="X11" s="160">
        <f t="shared" si="12"/>
        <v>-0.26119072440801849</v>
      </c>
      <c r="Y11" s="162">
        <f t="shared" si="16"/>
        <v>-0.31883061064456758</v>
      </c>
      <c r="Z11" s="159"/>
      <c r="AG11" s="162">
        <f t="shared" si="0"/>
        <v>0.33972404135315248</v>
      </c>
      <c r="AH11" s="162">
        <f t="shared" si="5"/>
        <v>0.57996874152965461</v>
      </c>
      <c r="AI11" s="162">
        <f t="shared" si="9"/>
        <v>0.59800393520670492</v>
      </c>
      <c r="AJ11" s="162">
        <f t="shared" si="13"/>
        <v>0.26119072440801849</v>
      </c>
      <c r="AK11" s="162">
        <f t="shared" si="17"/>
        <v>0.31883061064456758</v>
      </c>
    </row>
    <row r="12" spans="1:38">
      <c r="A12" s="114">
        <f>WILD_CHUM_DATA!A18</f>
        <v>1978</v>
      </c>
      <c r="B12" s="72">
        <f>WILD_CHUM_DATA!O18</f>
        <v>485147</v>
      </c>
      <c r="C12" s="72">
        <f>WILD_CHUM_DATA!R18</f>
        <v>664097.9444444445</v>
      </c>
      <c r="E12" s="72">
        <f t="shared" si="1"/>
        <v>698076.1825396826</v>
      </c>
      <c r="F12" s="13"/>
      <c r="G12" s="72">
        <f t="shared" si="6"/>
        <v>579499.55158730166</v>
      </c>
      <c r="H12" s="72">
        <f t="shared" si="10"/>
        <v>428167.93915343919</v>
      </c>
      <c r="I12" s="72">
        <f t="shared" si="14"/>
        <v>384986.95436507941</v>
      </c>
      <c r="J12" s="72">
        <f t="shared" si="18"/>
        <v>552211.36349206348</v>
      </c>
      <c r="M12" s="72">
        <f t="shared" si="2"/>
        <v>33978.238095238106</v>
      </c>
      <c r="N12" s="20">
        <f t="shared" si="7"/>
        <v>-84598.392857142841</v>
      </c>
      <c r="O12" s="72">
        <f t="shared" si="11"/>
        <v>-235930.00529100531</v>
      </c>
      <c r="P12" s="20">
        <f t="shared" si="15"/>
        <v>-279110.99007936509</v>
      </c>
      <c r="Q12" s="72">
        <f t="shared" si="19"/>
        <v>-111886.58095238102</v>
      </c>
      <c r="U12" s="162">
        <f t="shared" si="3"/>
        <v>5.1164498218200065E-2</v>
      </c>
      <c r="V12" s="160">
        <f t="shared" si="4"/>
        <v>-0.12738842751262267</v>
      </c>
      <c r="W12" s="162">
        <f t="shared" si="8"/>
        <v>-0.35526386922997344</v>
      </c>
      <c r="X12" s="160">
        <f t="shared" si="12"/>
        <v>-0.42028588164484865</v>
      </c>
      <c r="Y12" s="162">
        <f t="shared" si="16"/>
        <v>-0.16847903519108234</v>
      </c>
      <c r="Z12" s="159"/>
      <c r="AG12" s="162">
        <f t="shared" si="0"/>
        <v>5.1164498218200065E-2</v>
      </c>
      <c r="AH12" s="162">
        <f t="shared" si="5"/>
        <v>0.12738842751262267</v>
      </c>
      <c r="AI12" s="162">
        <f t="shared" si="9"/>
        <v>0.35526386922997344</v>
      </c>
      <c r="AJ12" s="162">
        <f t="shared" si="13"/>
        <v>0.42028588164484865</v>
      </c>
      <c r="AK12" s="162">
        <f t="shared" si="17"/>
        <v>0.16847903519108234</v>
      </c>
    </row>
    <row r="13" spans="1:38">
      <c r="A13" s="114">
        <f>WILD_CHUM_DATA!A19</f>
        <v>1979</v>
      </c>
      <c r="B13" s="72">
        <f>WILD_CHUM_DATA!O19</f>
        <v>324040</v>
      </c>
      <c r="C13" s="72">
        <f>WILD_CHUM_DATA!R19</f>
        <v>385054.20634920633</v>
      </c>
      <c r="E13" s="72">
        <f t="shared" si="1"/>
        <v>664097.9444444445</v>
      </c>
      <c r="F13" s="13"/>
      <c r="G13" s="72">
        <f t="shared" si="6"/>
        <v>681087.06349206355</v>
      </c>
      <c r="H13" s="72">
        <f t="shared" si="10"/>
        <v>607699.01587301597</v>
      </c>
      <c r="I13" s="72">
        <f t="shared" si="14"/>
        <v>487150.44047619053</v>
      </c>
      <c r="J13" s="72">
        <f t="shared" si="18"/>
        <v>440809.15238095244</v>
      </c>
      <c r="M13" s="72">
        <f t="shared" si="2"/>
        <v>279043.73809523816</v>
      </c>
      <c r="N13" s="20">
        <f t="shared" si="7"/>
        <v>296032.85714285722</v>
      </c>
      <c r="O13" s="72">
        <f t="shared" si="11"/>
        <v>222644.80952380964</v>
      </c>
      <c r="P13" s="20">
        <f t="shared" si="15"/>
        <v>102096.2341269842</v>
      </c>
      <c r="Q13" s="72">
        <f t="shared" si="19"/>
        <v>55754.946031746105</v>
      </c>
      <c r="U13" s="162">
        <f t="shared" si="3"/>
        <v>0.72468689730965541</v>
      </c>
      <c r="V13" s="160">
        <f t="shared" si="4"/>
        <v>0.76880826715183193</v>
      </c>
      <c r="W13" s="162">
        <f t="shared" si="8"/>
        <v>0.57821679610972143</v>
      </c>
      <c r="X13" s="160">
        <f t="shared" si="12"/>
        <v>0.26514769204830591</v>
      </c>
      <c r="Y13" s="162">
        <f t="shared" si="16"/>
        <v>0.14479765475196976</v>
      </c>
      <c r="Z13" s="159"/>
      <c r="AG13" s="162">
        <f t="shared" si="0"/>
        <v>0.72468689730965541</v>
      </c>
      <c r="AH13" s="162">
        <f t="shared" si="5"/>
        <v>0.76880826715183193</v>
      </c>
      <c r="AI13" s="162">
        <f t="shared" si="9"/>
        <v>0.57821679610972143</v>
      </c>
      <c r="AJ13" s="162">
        <f t="shared" si="13"/>
        <v>0.26514769204830591</v>
      </c>
      <c r="AK13" s="162">
        <f t="shared" si="17"/>
        <v>0.14479765475196976</v>
      </c>
    </row>
    <row r="14" spans="1:38">
      <c r="A14" s="114">
        <f>WILD_CHUM_DATA!A20</f>
        <v>1980</v>
      </c>
      <c r="B14" s="72">
        <f>WILD_CHUM_DATA!O20</f>
        <v>412948</v>
      </c>
      <c r="C14" s="72">
        <f>WILD_CHUM_DATA!R20</f>
        <v>489257.40476190473</v>
      </c>
      <c r="E14" s="72">
        <f t="shared" si="1"/>
        <v>385054.20634920633</v>
      </c>
      <c r="F14" s="13"/>
      <c r="G14" s="72">
        <f t="shared" si="6"/>
        <v>524576.07539682544</v>
      </c>
      <c r="H14" s="72">
        <f t="shared" si="10"/>
        <v>582409.4444444445</v>
      </c>
      <c r="I14" s="72">
        <f t="shared" si="14"/>
        <v>552037.81349206355</v>
      </c>
      <c r="J14" s="72">
        <f t="shared" si="18"/>
        <v>466731.19365079363</v>
      </c>
      <c r="K14" s="72">
        <f>AVERAGE(C4:C13)</f>
        <v>510101.49682539672</v>
      </c>
      <c r="M14" s="72">
        <f t="shared" si="2"/>
        <v>-104203.1984126984</v>
      </c>
      <c r="N14" s="20">
        <f t="shared" si="7"/>
        <v>35318.670634920709</v>
      </c>
      <c r="O14" s="72">
        <f t="shared" si="11"/>
        <v>93152.039682539762</v>
      </c>
      <c r="P14" s="20">
        <f t="shared" si="15"/>
        <v>62780.408730158815</v>
      </c>
      <c r="Q14" s="72">
        <f t="shared" si="19"/>
        <v>-22526.211111111101</v>
      </c>
      <c r="R14" s="72">
        <f>(K14-C14)</f>
        <v>20844.092063491989</v>
      </c>
      <c r="S14" s="20"/>
      <c r="U14" s="162">
        <f t="shared" si="3"/>
        <v>-0.21298236347267652</v>
      </c>
      <c r="V14" s="160">
        <f t="shared" si="4"/>
        <v>7.2188321098805658E-2</v>
      </c>
      <c r="W14" s="162">
        <f t="shared" si="8"/>
        <v>0.19039474676499143</v>
      </c>
      <c r="X14" s="160">
        <f t="shared" si="12"/>
        <v>0.12831774873332916</v>
      </c>
      <c r="Y14" s="162">
        <f t="shared" si="16"/>
        <v>-4.6041635531450763E-2</v>
      </c>
      <c r="Z14" s="162">
        <f t="shared" ref="Z14:Z48" si="20">($R14/$C14)</f>
        <v>4.2603529063879347E-2</v>
      </c>
      <c r="AG14" s="162">
        <f t="shared" si="0"/>
        <v>0.21298236347267652</v>
      </c>
      <c r="AH14" s="162">
        <f t="shared" si="5"/>
        <v>7.2188321098805658E-2</v>
      </c>
      <c r="AI14" s="162">
        <f t="shared" si="9"/>
        <v>0.19039474676499143</v>
      </c>
      <c r="AJ14" s="162">
        <f t="shared" si="13"/>
        <v>0.12831774873332916</v>
      </c>
      <c r="AK14" s="162">
        <f t="shared" si="17"/>
        <v>4.6041635531450763E-2</v>
      </c>
      <c r="AL14" s="162">
        <f t="shared" ref="AL14:AL48" si="21">ABS(($R14/$C14))</f>
        <v>4.2603529063879347E-2</v>
      </c>
    </row>
    <row r="15" spans="1:38">
      <c r="A15" s="114">
        <f>WILD_CHUM_DATA!A21</f>
        <v>1981</v>
      </c>
      <c r="B15" s="72">
        <f>WILD_CHUM_DATA!O21</f>
        <v>1745869</v>
      </c>
      <c r="C15" s="72">
        <f>WILD_CHUM_DATA!R21</f>
        <v>1878209.9523809524</v>
      </c>
      <c r="E15" s="72">
        <f t="shared" si="1"/>
        <v>489257.40476190473</v>
      </c>
      <c r="F15" s="13"/>
      <c r="G15" s="72">
        <f t="shared" si="6"/>
        <v>437155.8055555555</v>
      </c>
      <c r="H15" s="72">
        <f t="shared" si="10"/>
        <v>512803.18518518517</v>
      </c>
      <c r="I15" s="72">
        <f t="shared" si="14"/>
        <v>559121.43452380958</v>
      </c>
      <c r="J15" s="72">
        <f t="shared" si="18"/>
        <v>539481.73174603179</v>
      </c>
      <c r="K15" s="72">
        <f t="shared" ref="K15:K43" si="22">AVERAGE(C5:C14)</f>
        <v>529806.13730158727</v>
      </c>
      <c r="M15" s="72">
        <f t="shared" si="2"/>
        <v>-1388952.5476190476</v>
      </c>
      <c r="N15" s="20">
        <f t="shared" si="7"/>
        <v>-1441054.1468253969</v>
      </c>
      <c r="O15" s="72">
        <f t="shared" si="11"/>
        <v>-1365406.7671957673</v>
      </c>
      <c r="P15" s="20">
        <f t="shared" si="15"/>
        <v>-1319088.5178571427</v>
      </c>
      <c r="Q15" s="72">
        <f t="shared" si="19"/>
        <v>-1338728.2206349205</v>
      </c>
      <c r="R15" s="72">
        <f t="shared" ref="R15:R46" si="23">(K15-C15)</f>
        <v>-1348403.8150793652</v>
      </c>
      <c r="S15" s="13"/>
      <c r="U15" s="162">
        <f t="shared" si="3"/>
        <v>-0.73950867199820369</v>
      </c>
      <c r="V15" s="160">
        <f t="shared" si="4"/>
        <v>-0.76724870134918322</v>
      </c>
      <c r="W15" s="162">
        <f t="shared" si="8"/>
        <v>-0.72697238424537181</v>
      </c>
      <c r="X15" s="160">
        <f t="shared" si="12"/>
        <v>-0.70231153667616997</v>
      </c>
      <c r="Y15" s="162">
        <f t="shared" si="16"/>
        <v>-0.71276814337920713</v>
      </c>
      <c r="Z15" s="160">
        <f t="shared" si="20"/>
        <v>-0.71791964118283613</v>
      </c>
      <c r="AG15" s="162">
        <f t="shared" si="0"/>
        <v>0.73950867199820369</v>
      </c>
      <c r="AH15" s="162">
        <f t="shared" si="5"/>
        <v>0.76724870134918322</v>
      </c>
      <c r="AI15" s="162">
        <f t="shared" si="9"/>
        <v>0.72697238424537181</v>
      </c>
      <c r="AJ15" s="162">
        <f t="shared" si="13"/>
        <v>0.70231153667616997</v>
      </c>
      <c r="AK15" s="162">
        <f t="shared" si="17"/>
        <v>0.71276814337920713</v>
      </c>
      <c r="AL15" s="162">
        <f t="shared" si="21"/>
        <v>0.71791964118283613</v>
      </c>
    </row>
    <row r="16" spans="1:38">
      <c r="A16" s="114">
        <f>WILD_CHUM_DATA!A22</f>
        <v>1982</v>
      </c>
      <c r="B16" s="72">
        <f>WILD_CHUM_DATA!O22</f>
        <v>1335368</v>
      </c>
      <c r="C16" s="72">
        <f>WILD_CHUM_DATA!R22</f>
        <v>1578002.1269841271</v>
      </c>
      <c r="E16" s="72">
        <f t="shared" si="1"/>
        <v>1878209.9523809524</v>
      </c>
      <c r="F16" s="13"/>
      <c r="G16" s="72">
        <f t="shared" si="6"/>
        <v>1183733.6785714286</v>
      </c>
      <c r="H16" s="72">
        <f t="shared" si="10"/>
        <v>917507.18783068785</v>
      </c>
      <c r="I16" s="72">
        <f t="shared" si="14"/>
        <v>854154.87698412698</v>
      </c>
      <c r="J16" s="72">
        <f t="shared" si="18"/>
        <v>822939.13809523813</v>
      </c>
      <c r="K16" s="72">
        <f t="shared" si="22"/>
        <v>649223.63253968244</v>
      </c>
      <c r="M16" s="72">
        <f t="shared" si="2"/>
        <v>300207.82539682533</v>
      </c>
      <c r="N16" s="20">
        <f t="shared" si="7"/>
        <v>-394268.44841269846</v>
      </c>
      <c r="O16" s="72">
        <f t="shared" si="11"/>
        <v>-660494.93915343925</v>
      </c>
      <c r="P16" s="20">
        <f t="shared" si="15"/>
        <v>-723847.25000000012</v>
      </c>
      <c r="Q16" s="72">
        <f t="shared" si="19"/>
        <v>-755062.98888888897</v>
      </c>
      <c r="R16" s="72">
        <f t="shared" si="23"/>
        <v>-928778.49444444466</v>
      </c>
      <c r="S16" s="13"/>
      <c r="U16" s="162">
        <f t="shared" si="3"/>
        <v>0.19024551378177265</v>
      </c>
      <c r="V16" s="160">
        <f t="shared" si="4"/>
        <v>-0.24985292584251653</v>
      </c>
      <c r="W16" s="162">
        <f t="shared" si="8"/>
        <v>-0.41856403604206488</v>
      </c>
      <c r="X16" s="160">
        <f t="shared" si="12"/>
        <v>-0.45871120046169694</v>
      </c>
      <c r="Y16" s="162">
        <f t="shared" si="16"/>
        <v>-0.47849301086302276</v>
      </c>
      <c r="Z16" s="160">
        <f t="shared" si="20"/>
        <v>-0.58857873418683115</v>
      </c>
      <c r="AG16" s="162">
        <f t="shared" si="0"/>
        <v>0.19024551378177265</v>
      </c>
      <c r="AH16" s="162">
        <f t="shared" si="5"/>
        <v>0.24985292584251653</v>
      </c>
      <c r="AI16" s="162">
        <f t="shared" si="9"/>
        <v>0.41856403604206488</v>
      </c>
      <c r="AJ16" s="162">
        <f t="shared" si="13"/>
        <v>0.45871120046169694</v>
      </c>
      <c r="AK16" s="162">
        <f t="shared" si="17"/>
        <v>0.47849301086302276</v>
      </c>
      <c r="AL16" s="162">
        <f t="shared" si="21"/>
        <v>0.58857873418683115</v>
      </c>
    </row>
    <row r="17" spans="1:38">
      <c r="A17" s="114">
        <f>WILD_CHUM_DATA!A23</f>
        <v>1983</v>
      </c>
      <c r="B17" s="72">
        <f>WILD_CHUM_DATA!O23</f>
        <v>1030546</v>
      </c>
      <c r="C17" s="72">
        <f>WILD_CHUM_DATA!R23</f>
        <v>1354410.7222222222</v>
      </c>
      <c r="E17" s="72">
        <f t="shared" si="1"/>
        <v>1578002.1269841271</v>
      </c>
      <c r="F17" s="13"/>
      <c r="G17" s="72">
        <f t="shared" si="6"/>
        <v>1728106.0396825396</v>
      </c>
      <c r="H17" s="72">
        <f t="shared" si="10"/>
        <v>1315156.4947089946</v>
      </c>
      <c r="I17" s="72">
        <f t="shared" si="14"/>
        <v>1082630.9226190476</v>
      </c>
      <c r="J17" s="72">
        <f t="shared" si="18"/>
        <v>998924.32698412705</v>
      </c>
      <c r="K17" s="72">
        <f t="shared" si="22"/>
        <v>775567.84523809527</v>
      </c>
      <c r="M17" s="72">
        <f t="shared" si="2"/>
        <v>223591.40476190485</v>
      </c>
      <c r="N17" s="20">
        <f t="shared" si="7"/>
        <v>373695.3174603174</v>
      </c>
      <c r="O17" s="72">
        <f t="shared" si="11"/>
        <v>-39254.227513227612</v>
      </c>
      <c r="P17" s="20">
        <f t="shared" si="15"/>
        <v>-271779.79960317467</v>
      </c>
      <c r="Q17" s="72">
        <f t="shared" si="19"/>
        <v>-355486.3952380952</v>
      </c>
      <c r="R17" s="72">
        <f t="shared" si="23"/>
        <v>-578842.87698412698</v>
      </c>
      <c r="S17" s="13"/>
      <c r="U17" s="162">
        <f t="shared" si="3"/>
        <v>0.16508390039548101</v>
      </c>
      <c r="V17" s="160">
        <f t="shared" si="4"/>
        <v>0.2759098930102859</v>
      </c>
      <c r="W17" s="162">
        <f t="shared" si="8"/>
        <v>-2.8982513848400452E-2</v>
      </c>
      <c r="X17" s="160">
        <f t="shared" si="12"/>
        <v>-0.2006627643623918</v>
      </c>
      <c r="Y17" s="162">
        <f t="shared" si="16"/>
        <v>-0.26246572727572476</v>
      </c>
      <c r="Z17" s="160">
        <f t="shared" si="20"/>
        <v>-0.42737617731968491</v>
      </c>
      <c r="AG17" s="162">
        <f t="shared" si="0"/>
        <v>0.16508390039548101</v>
      </c>
      <c r="AH17" s="162">
        <f t="shared" si="5"/>
        <v>0.2759098930102859</v>
      </c>
      <c r="AI17" s="162">
        <f t="shared" si="9"/>
        <v>2.8982513848400452E-2</v>
      </c>
      <c r="AJ17" s="162">
        <f t="shared" si="13"/>
        <v>0.2006627643623918</v>
      </c>
      <c r="AK17" s="162">
        <f t="shared" si="17"/>
        <v>0.26246572727572476</v>
      </c>
      <c r="AL17" s="162">
        <f t="shared" si="21"/>
        <v>0.42737617731968491</v>
      </c>
    </row>
    <row r="18" spans="1:38">
      <c r="A18" s="114">
        <f>WILD_CHUM_DATA!A24</f>
        <v>1984</v>
      </c>
      <c r="B18" s="72">
        <f>WILD_CHUM_DATA!O24</f>
        <v>1196785</v>
      </c>
      <c r="C18" s="72">
        <f>WILD_CHUM_DATA!R24</f>
        <v>1387897.3015873015</v>
      </c>
      <c r="E18" s="72">
        <f t="shared" si="1"/>
        <v>1354410.7222222222</v>
      </c>
      <c r="F18" s="13"/>
      <c r="G18" s="72">
        <f t="shared" si="6"/>
        <v>1466206.4246031747</v>
      </c>
      <c r="H18" s="72">
        <f t="shared" si="10"/>
        <v>1603540.9338624338</v>
      </c>
      <c r="I18" s="72">
        <f t="shared" si="14"/>
        <v>1324970.0515873015</v>
      </c>
      <c r="J18" s="72">
        <f t="shared" si="18"/>
        <v>1136986.8825396826</v>
      </c>
      <c r="K18" s="72">
        <f t="shared" si="22"/>
        <v>788898.01746031747</v>
      </c>
      <c r="M18" s="72">
        <f t="shared" si="2"/>
        <v>-33486.579365079291</v>
      </c>
      <c r="N18" s="20">
        <f t="shared" si="7"/>
        <v>78309.123015873134</v>
      </c>
      <c r="O18" s="72">
        <f t="shared" si="11"/>
        <v>215643.63227513223</v>
      </c>
      <c r="P18" s="20">
        <f t="shared" si="15"/>
        <v>-62927.25</v>
      </c>
      <c r="Q18" s="72">
        <f t="shared" si="19"/>
        <v>-250910.41904761898</v>
      </c>
      <c r="R18" s="72">
        <f t="shared" si="23"/>
        <v>-598999.28412698407</v>
      </c>
      <c r="S18" s="13"/>
      <c r="U18" s="162">
        <f t="shared" si="3"/>
        <v>-2.4127562844009836E-2</v>
      </c>
      <c r="V18" s="160">
        <f t="shared" si="4"/>
        <v>5.6422851263067557E-2</v>
      </c>
      <c r="W18" s="162">
        <f t="shared" si="8"/>
        <v>0.1553743436409209</v>
      </c>
      <c r="X18" s="160">
        <f t="shared" si="12"/>
        <v>-4.5339990162119176E-2</v>
      </c>
      <c r="Y18" s="162">
        <f t="shared" si="16"/>
        <v>-0.18078457156783817</v>
      </c>
      <c r="Z18" s="160">
        <f t="shared" si="20"/>
        <v>-0.43158761346529345</v>
      </c>
      <c r="AG18" s="162">
        <f t="shared" si="0"/>
        <v>2.4127562844009836E-2</v>
      </c>
      <c r="AH18" s="162">
        <f t="shared" si="5"/>
        <v>5.6422851263067557E-2</v>
      </c>
      <c r="AI18" s="162">
        <f t="shared" si="9"/>
        <v>0.1553743436409209</v>
      </c>
      <c r="AJ18" s="162">
        <f t="shared" si="13"/>
        <v>4.5339990162119176E-2</v>
      </c>
      <c r="AK18" s="162">
        <f t="shared" si="17"/>
        <v>0.18078457156783817</v>
      </c>
      <c r="AL18" s="162">
        <f t="shared" si="21"/>
        <v>0.43158761346529345</v>
      </c>
    </row>
    <row r="19" spans="1:38">
      <c r="A19" s="114">
        <f>WILD_CHUM_DATA!A25</f>
        <v>1985</v>
      </c>
      <c r="B19" s="72">
        <f>WILD_CHUM_DATA!O25</f>
        <v>1302090</v>
      </c>
      <c r="C19" s="72">
        <f>WILD_CHUM_DATA!R25</f>
        <v>1395877.4603174604</v>
      </c>
      <c r="E19" s="72">
        <f t="shared" si="1"/>
        <v>1387897.3015873015</v>
      </c>
      <c r="F19" s="13"/>
      <c r="G19" s="72">
        <f t="shared" si="6"/>
        <v>1371154.0119047619</v>
      </c>
      <c r="H19" s="72">
        <f t="shared" si="10"/>
        <v>1440103.3835978836</v>
      </c>
      <c r="I19" s="72">
        <f t="shared" si="14"/>
        <v>1549630.0257936507</v>
      </c>
      <c r="J19" s="72">
        <f t="shared" si="18"/>
        <v>1337555.5015873015</v>
      </c>
      <c r="K19" s="72">
        <f t="shared" si="22"/>
        <v>902143.34761904762</v>
      </c>
      <c r="M19" s="72">
        <f t="shared" si="2"/>
        <v>-7980.1587301588152</v>
      </c>
      <c r="N19" s="20">
        <f t="shared" si="7"/>
        <v>-24723.448412698461</v>
      </c>
      <c r="O19" s="72">
        <f t="shared" si="11"/>
        <v>44225.923280423274</v>
      </c>
      <c r="P19" s="20">
        <f t="shared" si="15"/>
        <v>153752.5654761903</v>
      </c>
      <c r="Q19" s="72">
        <f t="shared" si="19"/>
        <v>-58321.958730158862</v>
      </c>
      <c r="R19" s="72">
        <f t="shared" si="23"/>
        <v>-493734.11269841273</v>
      </c>
      <c r="S19" s="13"/>
      <c r="U19" s="162">
        <f t="shared" si="3"/>
        <v>-5.7169479105593632E-3</v>
      </c>
      <c r="V19" s="160">
        <f t="shared" si="4"/>
        <v>-1.7711761322570307E-2</v>
      </c>
      <c r="W19" s="162">
        <f t="shared" si="8"/>
        <v>3.168324193039488E-2</v>
      </c>
      <c r="X19" s="160">
        <f t="shared" si="12"/>
        <v>0.1101476095482069</v>
      </c>
      <c r="Y19" s="162">
        <f t="shared" si="16"/>
        <v>-4.178157495063705E-2</v>
      </c>
      <c r="Z19" s="160">
        <f t="shared" si="20"/>
        <v>-0.35370877941257411</v>
      </c>
      <c r="AG19" s="162">
        <f t="shared" si="0"/>
        <v>5.7169479105593632E-3</v>
      </c>
      <c r="AH19" s="162">
        <f t="shared" si="5"/>
        <v>1.7711761322570307E-2</v>
      </c>
      <c r="AI19" s="162">
        <f t="shared" si="9"/>
        <v>3.168324193039488E-2</v>
      </c>
      <c r="AJ19" s="162">
        <f t="shared" si="13"/>
        <v>0.1101476095482069</v>
      </c>
      <c r="AK19" s="162">
        <f t="shared" si="17"/>
        <v>4.178157495063705E-2</v>
      </c>
      <c r="AL19" s="162">
        <f t="shared" si="21"/>
        <v>0.35370877941257411</v>
      </c>
    </row>
    <row r="20" spans="1:38">
      <c r="A20" s="114">
        <f>WILD_CHUM_DATA!A26</f>
        <v>1986</v>
      </c>
      <c r="B20" s="72">
        <f>WILD_CHUM_DATA!O26</f>
        <v>1662366</v>
      </c>
      <c r="C20" s="72">
        <f>WILD_CHUM_DATA!R26</f>
        <v>1928630.6825396826</v>
      </c>
      <c r="E20" s="72">
        <f t="shared" si="1"/>
        <v>1395877.4603174604</v>
      </c>
      <c r="F20" s="13"/>
      <c r="G20" s="72">
        <f t="shared" si="6"/>
        <v>1391887.3809523811</v>
      </c>
      <c r="H20" s="72">
        <f t="shared" si="10"/>
        <v>1379395.1613756614</v>
      </c>
      <c r="I20" s="72">
        <f t="shared" si="14"/>
        <v>1429046.902777778</v>
      </c>
      <c r="J20" s="72">
        <f t="shared" si="18"/>
        <v>1518879.5126984126</v>
      </c>
      <c r="K20" s="72">
        <f t="shared" si="22"/>
        <v>1029180.6222222224</v>
      </c>
      <c r="M20" s="72">
        <f t="shared" si="2"/>
        <v>-532753.22222222225</v>
      </c>
      <c r="N20" s="20">
        <f t="shared" si="7"/>
        <v>-536743.30158730154</v>
      </c>
      <c r="O20" s="72">
        <f t="shared" si="11"/>
        <v>-549235.52116402122</v>
      </c>
      <c r="P20" s="20">
        <f t="shared" si="15"/>
        <v>-499583.77976190462</v>
      </c>
      <c r="Q20" s="72">
        <f t="shared" si="19"/>
        <v>-409751.16984126996</v>
      </c>
      <c r="R20" s="72">
        <f t="shared" si="23"/>
        <v>-899450.06031746021</v>
      </c>
      <c r="S20" s="13"/>
      <c r="U20" s="162">
        <f t="shared" si="3"/>
        <v>-0.27623392443423939</v>
      </c>
      <c r="V20" s="160">
        <f t="shared" si="4"/>
        <v>-0.27830279091095905</v>
      </c>
      <c r="W20" s="162">
        <f t="shared" si="8"/>
        <v>-0.28478003909010213</v>
      </c>
      <c r="X20" s="160">
        <f t="shared" si="12"/>
        <v>-0.25903548267936749</v>
      </c>
      <c r="Y20" s="162">
        <f t="shared" si="16"/>
        <v>-0.21245704195771506</v>
      </c>
      <c r="Z20" s="160">
        <f t="shared" si="20"/>
        <v>-0.46636718396133553</v>
      </c>
      <c r="AG20" s="162">
        <f t="shared" si="0"/>
        <v>0.27623392443423939</v>
      </c>
      <c r="AH20" s="162">
        <f t="shared" si="5"/>
        <v>0.27830279091095905</v>
      </c>
      <c r="AI20" s="162">
        <f t="shared" si="9"/>
        <v>0.28478003909010213</v>
      </c>
      <c r="AJ20" s="162">
        <f t="shared" si="13"/>
        <v>0.25903548267936749</v>
      </c>
      <c r="AK20" s="162">
        <f t="shared" si="17"/>
        <v>0.21245704195771506</v>
      </c>
      <c r="AL20" s="162">
        <f t="shared" si="21"/>
        <v>0.46636718396133553</v>
      </c>
    </row>
    <row r="21" spans="1:38">
      <c r="A21" s="114">
        <f>WILD_CHUM_DATA!A27</f>
        <v>1987</v>
      </c>
      <c r="B21" s="72">
        <f>WILD_CHUM_DATA!O27</f>
        <v>1616850.0588235294</v>
      </c>
      <c r="C21" s="72">
        <f>WILD_CHUM_DATA!R27</f>
        <v>1948728.7096171803</v>
      </c>
      <c r="E21" s="72">
        <f t="shared" si="1"/>
        <v>1928630.6825396826</v>
      </c>
      <c r="F21" s="13"/>
      <c r="G21" s="72">
        <f t="shared" si="6"/>
        <v>1662254.0714285714</v>
      </c>
      <c r="H21" s="72">
        <f t="shared" si="10"/>
        <v>1570801.8148148151</v>
      </c>
      <c r="I21" s="72">
        <f t="shared" si="14"/>
        <v>1516704.0416666667</v>
      </c>
      <c r="J21" s="72">
        <f t="shared" si="18"/>
        <v>1528963.658730159</v>
      </c>
      <c r="K21" s="72">
        <f t="shared" si="22"/>
        <v>1175951.3984126984</v>
      </c>
      <c r="M21" s="72">
        <f t="shared" si="2"/>
        <v>-20098.027077497682</v>
      </c>
      <c r="N21" s="20">
        <f t="shared" si="7"/>
        <v>-286474.63818860892</v>
      </c>
      <c r="O21" s="72">
        <f t="shared" si="11"/>
        <v>-377926.89480236522</v>
      </c>
      <c r="P21" s="20">
        <f t="shared" si="15"/>
        <v>-432024.66795051354</v>
      </c>
      <c r="Q21" s="72">
        <f t="shared" si="19"/>
        <v>-419765.05088702124</v>
      </c>
      <c r="R21" s="72">
        <f t="shared" si="23"/>
        <v>-772777.31120448187</v>
      </c>
      <c r="S21" s="13"/>
      <c r="U21" s="162">
        <f>($M21/$C21)</f>
        <v>-1.0313404312417533E-2</v>
      </c>
      <c r="V21" s="160">
        <f t="shared" si="4"/>
        <v>-0.14700591045578923</v>
      </c>
      <c r="W21" s="162">
        <f t="shared" si="8"/>
        <v>-0.19393509878376422</v>
      </c>
      <c r="X21" s="160">
        <f t="shared" si="12"/>
        <v>-0.22169564486756241</v>
      </c>
      <c r="Y21" s="162">
        <f t="shared" si="16"/>
        <v>-0.21540456032460381</v>
      </c>
      <c r="Z21" s="160">
        <f t="shared" si="20"/>
        <v>-0.39655458832763374</v>
      </c>
      <c r="AG21" s="162">
        <f t="shared" si="0"/>
        <v>1.0313404312417533E-2</v>
      </c>
      <c r="AH21" s="162">
        <f t="shared" si="5"/>
        <v>0.14700591045578923</v>
      </c>
      <c r="AI21" s="162">
        <f t="shared" si="9"/>
        <v>0.19393509878376422</v>
      </c>
      <c r="AJ21" s="162">
        <f t="shared" si="13"/>
        <v>0.22169564486756241</v>
      </c>
      <c r="AK21" s="162">
        <f t="shared" si="17"/>
        <v>0.21540456032460381</v>
      </c>
      <c r="AL21" s="162">
        <f t="shared" si="21"/>
        <v>0.39655458832763374</v>
      </c>
    </row>
    <row r="22" spans="1:38">
      <c r="A22" s="114">
        <f>WILD_CHUM_DATA!A28</f>
        <v>1988</v>
      </c>
      <c r="B22" s="72">
        <f>WILD_CHUM_DATA!O28</f>
        <v>1265442.0588235294</v>
      </c>
      <c r="C22" s="72">
        <f>WILD_CHUM_DATA!R28</f>
        <v>1892007.9318394023</v>
      </c>
      <c r="E22" s="72">
        <f t="shared" si="1"/>
        <v>1948728.7096171803</v>
      </c>
      <c r="F22" s="13"/>
      <c r="G22" s="72">
        <f t="shared" si="6"/>
        <v>1938679.6960784313</v>
      </c>
      <c r="H22" s="72">
        <f t="shared" si="10"/>
        <v>1757745.6174914408</v>
      </c>
      <c r="I22" s="72">
        <f t="shared" si="14"/>
        <v>1665283.5385154062</v>
      </c>
      <c r="J22" s="72">
        <f t="shared" si="18"/>
        <v>1603108.9752567695</v>
      </c>
      <c r="K22" s="72">
        <f t="shared" si="22"/>
        <v>1301016.6511204483</v>
      </c>
      <c r="M22" s="72">
        <f t="shared" si="2"/>
        <v>56720.777777777985</v>
      </c>
      <c r="N22" s="20">
        <f t="shared" si="7"/>
        <v>46671.764239029028</v>
      </c>
      <c r="O22" s="72">
        <f t="shared" si="11"/>
        <v>-134262.31434796145</v>
      </c>
      <c r="P22" s="20">
        <f t="shared" si="15"/>
        <v>-226724.3933239961</v>
      </c>
      <c r="Q22" s="72">
        <f t="shared" si="19"/>
        <v>-288898.95658263285</v>
      </c>
      <c r="R22" s="72">
        <f t="shared" si="23"/>
        <v>-590991.28071895405</v>
      </c>
      <c r="S22" s="13"/>
      <c r="U22" s="162">
        <f t="shared" si="3"/>
        <v>2.9979143756883871E-2</v>
      </c>
      <c r="V22" s="160">
        <f t="shared" si="4"/>
        <v>2.466784808542263E-2</v>
      </c>
      <c r="W22" s="162">
        <f t="shared" si="8"/>
        <v>-7.0962870762086169E-2</v>
      </c>
      <c r="X22" s="160">
        <f t="shared" si="12"/>
        <v>-0.11983268648539733</v>
      </c>
      <c r="Y22" s="162">
        <f t="shared" si="16"/>
        <v>-0.15269436862337382</v>
      </c>
      <c r="Z22" s="160">
        <f t="shared" si="20"/>
        <v>-0.31236194667767314</v>
      </c>
      <c r="AG22" s="162">
        <f t="shared" si="0"/>
        <v>2.9979143756883871E-2</v>
      </c>
      <c r="AH22" s="162">
        <f t="shared" si="5"/>
        <v>2.466784808542263E-2</v>
      </c>
      <c r="AI22" s="162">
        <f t="shared" si="9"/>
        <v>7.0962870762086169E-2</v>
      </c>
      <c r="AJ22" s="162">
        <f t="shared" si="13"/>
        <v>0.11983268648539733</v>
      </c>
      <c r="AK22" s="162">
        <f t="shared" si="17"/>
        <v>0.15269436862337382</v>
      </c>
      <c r="AL22" s="162">
        <f t="shared" si="21"/>
        <v>0.31236194667767314</v>
      </c>
    </row>
    <row r="23" spans="1:38">
      <c r="A23" s="114">
        <f>WILD_CHUM_DATA!A29</f>
        <v>1989</v>
      </c>
      <c r="B23" s="72">
        <f>WILD_CHUM_DATA!O29</f>
        <v>687035.0588235294</v>
      </c>
      <c r="C23" s="72">
        <f>WILD_CHUM_DATA!R29</f>
        <v>965670.96358543425</v>
      </c>
      <c r="E23" s="72">
        <f t="shared" si="1"/>
        <v>1892007.9318394023</v>
      </c>
      <c r="F23" s="13"/>
      <c r="G23" s="72">
        <f t="shared" si="6"/>
        <v>1920368.3207282913</v>
      </c>
      <c r="H23" s="72">
        <f t="shared" si="10"/>
        <v>1923122.4413320881</v>
      </c>
      <c r="I23" s="72">
        <f t="shared" si="14"/>
        <v>1791311.1960784313</v>
      </c>
      <c r="J23" s="72">
        <f t="shared" si="18"/>
        <v>1710628.4171802055</v>
      </c>
      <c r="K23" s="72">
        <f t="shared" si="22"/>
        <v>1423807.6498599439</v>
      </c>
      <c r="M23" s="72">
        <f t="shared" si="2"/>
        <v>926336.96825396805</v>
      </c>
      <c r="N23" s="20">
        <f t="shared" si="7"/>
        <v>954697.35714285704</v>
      </c>
      <c r="O23" s="72">
        <f t="shared" si="11"/>
        <v>957451.47774665384</v>
      </c>
      <c r="P23" s="20">
        <f t="shared" si="15"/>
        <v>825640.23249299708</v>
      </c>
      <c r="Q23" s="72">
        <f t="shared" si="19"/>
        <v>744957.45359477121</v>
      </c>
      <c r="R23" s="72">
        <f t="shared" si="23"/>
        <v>458136.68627450964</v>
      </c>
      <c r="S23" s="20"/>
      <c r="U23" s="162">
        <f t="shared" si="3"/>
        <v>0.95926770420286511</v>
      </c>
      <c r="V23" s="160">
        <f t="shared" si="4"/>
        <v>0.98863628828412387</v>
      </c>
      <c r="W23" s="162">
        <f t="shared" si="8"/>
        <v>0.99148831626016554</v>
      </c>
      <c r="X23" s="160">
        <f t="shared" si="12"/>
        <v>0.85499125854160729</v>
      </c>
      <c r="Y23" s="162">
        <f t="shared" si="16"/>
        <v>0.77144025417190021</v>
      </c>
      <c r="Z23" s="160">
        <f t="shared" si="20"/>
        <v>0.47442317678632123</v>
      </c>
      <c r="AG23" s="162">
        <f t="shared" si="0"/>
        <v>0.95926770420286511</v>
      </c>
      <c r="AH23" s="162">
        <f t="shared" si="5"/>
        <v>0.98863628828412387</v>
      </c>
      <c r="AI23" s="162">
        <f t="shared" si="9"/>
        <v>0.99148831626016554</v>
      </c>
      <c r="AJ23" s="162">
        <f t="shared" si="13"/>
        <v>0.85499125854160729</v>
      </c>
      <c r="AK23" s="162">
        <f t="shared" si="17"/>
        <v>0.77144025417190021</v>
      </c>
      <c r="AL23" s="162">
        <f t="shared" si="21"/>
        <v>0.47442317678632123</v>
      </c>
    </row>
    <row r="24" spans="1:38">
      <c r="A24" s="114">
        <f>WILD_CHUM_DATA!A30</f>
        <v>1990</v>
      </c>
      <c r="B24" s="72">
        <f>WILD_CHUM_DATA!O30</f>
        <v>411611.05882352946</v>
      </c>
      <c r="C24" s="72">
        <f>WILD_CHUM_DATA!R30</f>
        <v>727873.89215686277</v>
      </c>
      <c r="E24" s="72">
        <f t="shared" si="1"/>
        <v>965670.96358543425</v>
      </c>
      <c r="F24" s="13"/>
      <c r="G24" s="72">
        <f t="shared" si="6"/>
        <v>1428839.4477124182</v>
      </c>
      <c r="H24" s="72">
        <f t="shared" si="10"/>
        <v>1602135.8683473391</v>
      </c>
      <c r="I24" s="72">
        <f t="shared" si="14"/>
        <v>1683759.5718954247</v>
      </c>
      <c r="J24" s="72">
        <f t="shared" si="18"/>
        <v>1626183.1495798319</v>
      </c>
      <c r="K24" s="72">
        <f t="shared" si="22"/>
        <v>1481869.3255835669</v>
      </c>
      <c r="M24" s="72">
        <f t="shared" si="2"/>
        <v>237797.07142857148</v>
      </c>
      <c r="N24" s="20">
        <f t="shared" si="7"/>
        <v>700965.55555555539</v>
      </c>
      <c r="O24" s="72">
        <f t="shared" si="11"/>
        <v>874261.97619047633</v>
      </c>
      <c r="P24" s="20">
        <f t="shared" si="15"/>
        <v>955885.67973856197</v>
      </c>
      <c r="Q24" s="72">
        <f t="shared" si="19"/>
        <v>898309.25742296909</v>
      </c>
      <c r="R24" s="72">
        <f t="shared" si="23"/>
        <v>753995.43342670414</v>
      </c>
      <c r="S24" s="13"/>
      <c r="U24" s="162">
        <f t="shared" si="3"/>
        <v>0.3267009216719155</v>
      </c>
      <c r="V24" s="160">
        <f t="shared" si="4"/>
        <v>0.96303159531993709</v>
      </c>
      <c r="W24" s="162">
        <f t="shared" si="8"/>
        <v>1.2011173715818149</v>
      </c>
      <c r="X24" s="160">
        <f t="shared" si="12"/>
        <v>1.3132572689288886</v>
      </c>
      <c r="Y24" s="162">
        <f t="shared" si="16"/>
        <v>1.2341550742547804</v>
      </c>
      <c r="Z24" s="160">
        <f t="shared" si="20"/>
        <v>1.0358874546144758</v>
      </c>
      <c r="AG24" s="162">
        <f t="shared" si="0"/>
        <v>0.3267009216719155</v>
      </c>
      <c r="AH24" s="162">
        <f t="shared" si="5"/>
        <v>0.96303159531993709</v>
      </c>
      <c r="AI24" s="162">
        <f t="shared" si="9"/>
        <v>1.2011173715818149</v>
      </c>
      <c r="AJ24" s="162">
        <f t="shared" si="13"/>
        <v>1.3132572689288886</v>
      </c>
      <c r="AK24" s="162">
        <f t="shared" si="17"/>
        <v>1.2341550742547804</v>
      </c>
      <c r="AL24" s="162">
        <f t="shared" si="21"/>
        <v>1.0358874546144758</v>
      </c>
    </row>
    <row r="25" spans="1:38">
      <c r="A25" s="114">
        <f>WILD_CHUM_DATA!A31</f>
        <v>1991</v>
      </c>
      <c r="B25" s="72">
        <f>WILD_CHUM_DATA!O31</f>
        <v>170286.0588235294</v>
      </c>
      <c r="C25" s="72">
        <f>WILD_CHUM_DATA!R31</f>
        <v>278785.08263305324</v>
      </c>
      <c r="E25" s="72">
        <f t="shared" si="1"/>
        <v>727873.89215686277</v>
      </c>
      <c r="F25" s="13"/>
      <c r="G25" s="72">
        <f t="shared" si="6"/>
        <v>846772.42787114857</v>
      </c>
      <c r="H25" s="72">
        <f t="shared" si="10"/>
        <v>1195184.262527233</v>
      </c>
      <c r="I25" s="72">
        <f t="shared" si="14"/>
        <v>1383570.3742997199</v>
      </c>
      <c r="J25" s="72">
        <f t="shared" si="18"/>
        <v>1492582.4359477123</v>
      </c>
      <c r="K25" s="72">
        <f t="shared" si="22"/>
        <v>1505730.9743230627</v>
      </c>
      <c r="M25" s="72">
        <f t="shared" si="2"/>
        <v>449088.80952380953</v>
      </c>
      <c r="N25" s="20">
        <f t="shared" si="7"/>
        <v>567987.34523809538</v>
      </c>
      <c r="O25" s="72">
        <f t="shared" si="11"/>
        <v>916399.1798941798</v>
      </c>
      <c r="P25" s="20">
        <f t="shared" si="15"/>
        <v>1104785.2916666667</v>
      </c>
      <c r="Q25" s="72">
        <f t="shared" si="19"/>
        <v>1213797.3533146591</v>
      </c>
      <c r="R25" s="72">
        <f t="shared" si="23"/>
        <v>1226945.8916900095</v>
      </c>
      <c r="S25" s="13"/>
      <c r="U25" s="162">
        <f>($M25/$C25)</f>
        <v>1.6108781907635856</v>
      </c>
      <c r="V25" s="160">
        <f t="shared" si="4"/>
        <v>2.0373663464113694</v>
      </c>
      <c r="W25" s="162">
        <f t="shared" si="8"/>
        <v>3.2871169835883101</v>
      </c>
      <c r="X25" s="160">
        <f t="shared" si="12"/>
        <v>3.962856553271267</v>
      </c>
      <c r="Y25" s="162">
        <f t="shared" si="16"/>
        <v>4.3538820006101329</v>
      </c>
      <c r="Z25" s="160">
        <f t="shared" si="20"/>
        <v>4.4010457091241104</v>
      </c>
      <c r="AG25" s="162">
        <f t="shared" si="0"/>
        <v>1.6108781907635856</v>
      </c>
      <c r="AH25" s="162">
        <f t="shared" si="5"/>
        <v>2.0373663464113694</v>
      </c>
      <c r="AI25" s="162">
        <f t="shared" si="9"/>
        <v>3.2871169835883101</v>
      </c>
      <c r="AJ25" s="162">
        <f t="shared" si="13"/>
        <v>3.962856553271267</v>
      </c>
      <c r="AK25" s="162">
        <f t="shared" si="17"/>
        <v>4.3538820006101329</v>
      </c>
      <c r="AL25" s="162">
        <f t="shared" si="21"/>
        <v>4.4010457091241104</v>
      </c>
    </row>
    <row r="26" spans="1:38">
      <c r="A26" s="114">
        <f>WILD_CHUM_DATA!A32</f>
        <v>1992</v>
      </c>
      <c r="B26" s="72">
        <f>WILD_CHUM_DATA!O32</f>
        <v>179741.0588235294</v>
      </c>
      <c r="C26" s="72">
        <f>WILD_CHUM_DATA!R32</f>
        <v>271152.07469654526</v>
      </c>
      <c r="E26" s="72">
        <f t="shared" si="1"/>
        <v>278785.08263305324</v>
      </c>
      <c r="F26" s="13"/>
      <c r="G26" s="72">
        <f t="shared" si="6"/>
        <v>503329.48739495804</v>
      </c>
      <c r="H26" s="72">
        <f t="shared" si="10"/>
        <v>657443.31279178348</v>
      </c>
      <c r="I26" s="72">
        <f t="shared" si="14"/>
        <v>966084.4675536881</v>
      </c>
      <c r="J26" s="72">
        <f t="shared" si="18"/>
        <v>1162613.3159663866</v>
      </c>
      <c r="K26" s="72">
        <f t="shared" si="22"/>
        <v>1345788.4873482729</v>
      </c>
      <c r="M26" s="72">
        <f t="shared" si="2"/>
        <v>7633.0079365079873</v>
      </c>
      <c r="N26" s="20">
        <f t="shared" si="7"/>
        <v>232177.41269841278</v>
      </c>
      <c r="O26" s="72">
        <f t="shared" si="11"/>
        <v>386291.23809523822</v>
      </c>
      <c r="P26" s="20">
        <f t="shared" si="15"/>
        <v>694932.39285714284</v>
      </c>
      <c r="Q26" s="72">
        <f t="shared" si="19"/>
        <v>891461.24126984132</v>
      </c>
      <c r="R26" s="72">
        <f t="shared" si="23"/>
        <v>1074636.4126517277</v>
      </c>
      <c r="S26" s="13"/>
      <c r="U26" s="162">
        <f t="shared" si="3"/>
        <v>2.8150284098140591E-2</v>
      </c>
      <c r="V26" s="160">
        <f t="shared" si="4"/>
        <v>0.85626271883868033</v>
      </c>
      <c r="W26" s="162">
        <f t="shared" si="8"/>
        <v>1.4246294760147007</v>
      </c>
      <c r="X26" s="160">
        <f t="shared" si="12"/>
        <v>2.5628879795032486</v>
      </c>
      <c r="Y26" s="162">
        <f t="shared" si="16"/>
        <v>3.2876799569669655</v>
      </c>
      <c r="Z26" s="160">
        <f t="shared" si="20"/>
        <v>3.9632240094581124</v>
      </c>
      <c r="AG26" s="162">
        <f t="shared" si="0"/>
        <v>2.8150284098140591E-2</v>
      </c>
      <c r="AH26" s="162">
        <f t="shared" si="5"/>
        <v>0.85626271883868033</v>
      </c>
      <c r="AI26" s="162">
        <f t="shared" si="9"/>
        <v>1.4246294760147007</v>
      </c>
      <c r="AJ26" s="162">
        <f t="shared" si="13"/>
        <v>2.5628879795032486</v>
      </c>
      <c r="AK26" s="162">
        <f t="shared" si="17"/>
        <v>3.2876799569669655</v>
      </c>
      <c r="AL26" s="162">
        <f t="shared" si="21"/>
        <v>3.9632240094581124</v>
      </c>
    </row>
    <row r="27" spans="1:38">
      <c r="A27" s="114">
        <f>WILD_CHUM_DATA!A33</f>
        <v>1993</v>
      </c>
      <c r="B27" s="72">
        <f>WILD_CHUM_DATA!O33</f>
        <v>158498.0588235294</v>
      </c>
      <c r="C27" s="72">
        <f>WILD_CHUM_DATA!R33</f>
        <v>295340.06676003733</v>
      </c>
      <c r="E27" s="72">
        <f t="shared" si="1"/>
        <v>271152.07469654526</v>
      </c>
      <c r="F27" s="13"/>
      <c r="G27" s="72">
        <f t="shared" si="6"/>
        <v>274968.57866479922</v>
      </c>
      <c r="H27" s="72">
        <f t="shared" si="10"/>
        <v>425937.01649548713</v>
      </c>
      <c r="I27" s="72">
        <f t="shared" si="14"/>
        <v>560870.50326797389</v>
      </c>
      <c r="J27" s="72">
        <f t="shared" si="18"/>
        <v>827097.98898225953</v>
      </c>
      <c r="K27" s="72">
        <f t="shared" si="22"/>
        <v>1215103.4821195146</v>
      </c>
      <c r="M27" s="72">
        <f t="shared" si="2"/>
        <v>-24187.992063492071</v>
      </c>
      <c r="N27" s="20">
        <f t="shared" si="7"/>
        <v>-20371.488095238106</v>
      </c>
      <c r="O27" s="72">
        <f t="shared" si="11"/>
        <v>130596.9497354498</v>
      </c>
      <c r="P27" s="20">
        <f t="shared" si="15"/>
        <v>265530.43650793657</v>
      </c>
      <c r="Q27" s="72">
        <f t="shared" si="19"/>
        <v>531757.9222222222</v>
      </c>
      <c r="R27" s="72">
        <f t="shared" si="23"/>
        <v>919763.41535947728</v>
      </c>
      <c r="S27" s="13"/>
      <c r="U27" s="162">
        <f t="shared" si="3"/>
        <v>-8.1898783083653601E-2</v>
      </c>
      <c r="V27" s="160">
        <f t="shared" si="4"/>
        <v>-6.8976378040131833E-2</v>
      </c>
      <c r="W27" s="162">
        <f t="shared" si="8"/>
        <v>0.44219177969360768</v>
      </c>
      <c r="X27" s="160">
        <f t="shared" si="12"/>
        <v>0.89906675860434149</v>
      </c>
      <c r="Y27" s="162">
        <f t="shared" si="16"/>
        <v>1.8004936751581135</v>
      </c>
      <c r="Z27" s="160">
        <f t="shared" si="20"/>
        <v>3.1142520737180623</v>
      </c>
      <c r="AG27" s="162">
        <f t="shared" si="0"/>
        <v>8.1898783083653601E-2</v>
      </c>
      <c r="AH27" s="162">
        <f t="shared" si="5"/>
        <v>6.8976378040131833E-2</v>
      </c>
      <c r="AI27" s="162">
        <f t="shared" si="9"/>
        <v>0.44219177969360768</v>
      </c>
      <c r="AJ27" s="162">
        <f t="shared" si="13"/>
        <v>0.89906675860434149</v>
      </c>
      <c r="AK27" s="162">
        <f t="shared" si="17"/>
        <v>1.8004936751581135</v>
      </c>
      <c r="AL27" s="162">
        <f t="shared" si="21"/>
        <v>3.1142520737180623</v>
      </c>
    </row>
    <row r="28" spans="1:38">
      <c r="A28" s="114">
        <f>WILD_CHUM_DATA!A34</f>
        <v>1994</v>
      </c>
      <c r="B28" s="72">
        <f>WILD_CHUM_DATA!O34</f>
        <v>227404.0588235294</v>
      </c>
      <c r="C28" s="72">
        <f>WILD_CHUM_DATA!R34</f>
        <v>341916.38422035478</v>
      </c>
      <c r="E28" s="72">
        <f t="shared" si="1"/>
        <v>295340.06676003733</v>
      </c>
      <c r="F28" s="13"/>
      <c r="G28" s="72">
        <f t="shared" si="6"/>
        <v>283246.07072829129</v>
      </c>
      <c r="H28" s="72">
        <f t="shared" si="10"/>
        <v>281759.07469654526</v>
      </c>
      <c r="I28" s="72">
        <f t="shared" si="14"/>
        <v>393287.77906162466</v>
      </c>
      <c r="J28" s="72">
        <f t="shared" si="18"/>
        <v>507764.41596638656</v>
      </c>
      <c r="K28" s="72">
        <f t="shared" si="22"/>
        <v>1109196.4165732961</v>
      </c>
      <c r="M28" s="72">
        <f t="shared" si="2"/>
        <v>-46576.317460317456</v>
      </c>
      <c r="N28" s="20">
        <f t="shared" si="7"/>
        <v>-58670.313492063491</v>
      </c>
      <c r="O28" s="72">
        <f t="shared" si="11"/>
        <v>-60157.309523809527</v>
      </c>
      <c r="P28" s="20">
        <f t="shared" si="15"/>
        <v>51371.394841269881</v>
      </c>
      <c r="Q28" s="72">
        <f t="shared" si="19"/>
        <v>165848.03174603177</v>
      </c>
      <c r="R28" s="72">
        <f t="shared" si="23"/>
        <v>767280.03235294134</v>
      </c>
      <c r="S28" s="13"/>
      <c r="U28" s="162">
        <f t="shared" si="3"/>
        <v>-0.13622136759114892</v>
      </c>
      <c r="V28" s="160">
        <f t="shared" si="4"/>
        <v>-0.17159257701512265</v>
      </c>
      <c r="W28" s="162">
        <f t="shared" si="8"/>
        <v>-0.1759415819191629</v>
      </c>
      <c r="X28" s="160">
        <f t="shared" si="12"/>
        <v>0.15024549045348634</v>
      </c>
      <c r="Y28" s="162">
        <f t="shared" si="16"/>
        <v>0.48505435656206441</v>
      </c>
      <c r="Z28" s="160">
        <f t="shared" si="20"/>
        <v>2.2440575174614987</v>
      </c>
      <c r="AG28" s="162">
        <f t="shared" si="0"/>
        <v>0.13622136759114892</v>
      </c>
      <c r="AH28" s="162">
        <f t="shared" si="5"/>
        <v>0.17159257701512265</v>
      </c>
      <c r="AI28" s="162">
        <f t="shared" si="9"/>
        <v>0.1759415819191629</v>
      </c>
      <c r="AJ28" s="162">
        <f t="shared" si="13"/>
        <v>0.15024549045348634</v>
      </c>
      <c r="AK28" s="162">
        <f t="shared" si="17"/>
        <v>0.48505435656206441</v>
      </c>
      <c r="AL28" s="162">
        <f t="shared" si="21"/>
        <v>2.2440575174614987</v>
      </c>
    </row>
    <row r="29" spans="1:38">
      <c r="A29" s="114">
        <f>WILD_CHUM_DATA!A35</f>
        <v>1995</v>
      </c>
      <c r="B29" s="72">
        <f>WILD_CHUM_DATA!O35</f>
        <v>216799.0588235294</v>
      </c>
      <c r="C29" s="72">
        <f>WILD_CHUM_DATA!R35</f>
        <v>402325.70961718017</v>
      </c>
      <c r="E29" s="72">
        <f t="shared" si="1"/>
        <v>341916.38422035478</v>
      </c>
      <c r="F29" s="13"/>
      <c r="G29" s="72">
        <f t="shared" si="6"/>
        <v>318628.22549019603</v>
      </c>
      <c r="H29" s="72">
        <f t="shared" si="10"/>
        <v>302802.84189231246</v>
      </c>
      <c r="I29" s="72">
        <f t="shared" si="14"/>
        <v>296798.40207749762</v>
      </c>
      <c r="J29" s="72">
        <f t="shared" si="18"/>
        <v>383013.50009337068</v>
      </c>
      <c r="K29" s="72">
        <f t="shared" si="22"/>
        <v>1004598.3248366013</v>
      </c>
      <c r="M29" s="72">
        <f t="shared" si="2"/>
        <v>-60409.325396825385</v>
      </c>
      <c r="N29" s="20">
        <f t="shared" si="7"/>
        <v>-83697.484126984142</v>
      </c>
      <c r="O29" s="72">
        <f t="shared" si="11"/>
        <v>-99522.867724867712</v>
      </c>
      <c r="P29" s="20">
        <f t="shared" si="15"/>
        <v>-105527.30753968254</v>
      </c>
      <c r="Q29" s="72">
        <f t="shared" si="19"/>
        <v>-19312.209523809492</v>
      </c>
      <c r="R29" s="72">
        <f t="shared" si="23"/>
        <v>602272.6152194211</v>
      </c>
      <c r="S29" s="13"/>
      <c r="U29" s="162">
        <f t="shared" si="3"/>
        <v>-0.15015029850890191</v>
      </c>
      <c r="V29" s="160">
        <f t="shared" si="4"/>
        <v>-0.2080341428009255</v>
      </c>
      <c r="W29" s="162">
        <f t="shared" si="8"/>
        <v>-0.24736889874516205</v>
      </c>
      <c r="X29" s="160">
        <f t="shared" si="12"/>
        <v>-0.26229322416430606</v>
      </c>
      <c r="Y29" s="162">
        <f t="shared" si="16"/>
        <v>-4.8001430339078728E-2</v>
      </c>
      <c r="Z29" s="160">
        <f t="shared" si="20"/>
        <v>1.4969776994676622</v>
      </c>
      <c r="AG29" s="162">
        <f t="shared" si="0"/>
        <v>0.15015029850890191</v>
      </c>
      <c r="AH29" s="162">
        <f t="shared" si="5"/>
        <v>0.2080341428009255</v>
      </c>
      <c r="AI29" s="162">
        <f t="shared" si="9"/>
        <v>0.24736889874516205</v>
      </c>
      <c r="AJ29" s="162">
        <f t="shared" si="13"/>
        <v>0.26229322416430606</v>
      </c>
      <c r="AK29" s="162">
        <f t="shared" si="17"/>
        <v>4.8001430339078728E-2</v>
      </c>
      <c r="AL29" s="162">
        <f t="shared" si="21"/>
        <v>1.4969776994676622</v>
      </c>
    </row>
    <row r="30" spans="1:38">
      <c r="A30" s="114">
        <f>WILD_CHUM_DATA!A36</f>
        <v>1996</v>
      </c>
      <c r="B30" s="72">
        <f>WILD_CHUM_DATA!O36</f>
        <v>221625.17647058822</v>
      </c>
      <c r="C30" s="72">
        <f>WILD_CHUM_DATA!R36</f>
        <v>590561.89075630251</v>
      </c>
      <c r="E30" s="72">
        <f t="shared" si="1"/>
        <v>402325.70961718017</v>
      </c>
      <c r="F30" s="13"/>
      <c r="G30" s="72">
        <f t="shared" si="6"/>
        <v>372121.0469187675</v>
      </c>
      <c r="H30" s="72">
        <f t="shared" si="10"/>
        <v>346527.38686585741</v>
      </c>
      <c r="I30" s="72">
        <f t="shared" si="14"/>
        <v>327683.5588235294</v>
      </c>
      <c r="J30" s="72">
        <f t="shared" si="18"/>
        <v>317903.8635854341</v>
      </c>
      <c r="K30" s="72">
        <f t="shared" si="22"/>
        <v>905243.14976657333</v>
      </c>
      <c r="M30" s="72">
        <f t="shared" si="2"/>
        <v>-188236.18113912235</v>
      </c>
      <c r="N30" s="20">
        <f t="shared" si="7"/>
        <v>-218440.84383753501</v>
      </c>
      <c r="O30" s="72">
        <f t="shared" si="11"/>
        <v>-244034.50389044511</v>
      </c>
      <c r="P30" s="20">
        <f t="shared" si="15"/>
        <v>-262878.33193277312</v>
      </c>
      <c r="Q30" s="72">
        <f t="shared" si="19"/>
        <v>-272658.02717086842</v>
      </c>
      <c r="R30" s="72">
        <f t="shared" si="23"/>
        <v>314681.25901027082</v>
      </c>
      <c r="S30" s="13"/>
      <c r="U30" s="162">
        <f t="shared" si="3"/>
        <v>-0.31874081969301787</v>
      </c>
      <c r="V30" s="160">
        <f t="shared" si="4"/>
        <v>-0.36988645433552941</v>
      </c>
      <c r="W30" s="162">
        <f t="shared" si="8"/>
        <v>-0.41322426609330065</v>
      </c>
      <c r="X30" s="160">
        <f t="shared" si="12"/>
        <v>-0.44513256958744535</v>
      </c>
      <c r="Y30" s="162">
        <f t="shared" si="16"/>
        <v>-0.46169255320841845</v>
      </c>
      <c r="Z30" s="160">
        <f t="shared" si="20"/>
        <v>0.53285060200426171</v>
      </c>
      <c r="AG30" s="162">
        <f t="shared" si="0"/>
        <v>0.31874081969301787</v>
      </c>
      <c r="AH30" s="162">
        <f t="shared" si="5"/>
        <v>0.36988645433552941</v>
      </c>
      <c r="AI30" s="162">
        <f t="shared" si="9"/>
        <v>0.41322426609330065</v>
      </c>
      <c r="AJ30" s="162">
        <f t="shared" si="13"/>
        <v>0.44513256958744535</v>
      </c>
      <c r="AK30" s="162">
        <f t="shared" si="17"/>
        <v>0.46169255320841845</v>
      </c>
      <c r="AL30" s="162">
        <f t="shared" si="21"/>
        <v>0.53285060200426171</v>
      </c>
    </row>
    <row r="31" spans="1:38">
      <c r="A31" s="114">
        <f>WILD_CHUM_DATA!A37</f>
        <v>1997</v>
      </c>
      <c r="B31" s="72">
        <f>WILD_CHUM_DATA!O37</f>
        <v>336103.17647058825</v>
      </c>
      <c r="C31" s="72">
        <f>WILD_CHUM_DATA!R37</f>
        <v>548231.52567693754</v>
      </c>
      <c r="E31" s="72">
        <f>C30</f>
        <v>590561.89075630251</v>
      </c>
      <c r="F31" s="13"/>
      <c r="G31" s="72">
        <f t="shared" si="6"/>
        <v>496443.80018674134</v>
      </c>
      <c r="H31" s="72">
        <f t="shared" si="10"/>
        <v>444934.66153127915</v>
      </c>
      <c r="I31" s="72">
        <f t="shared" si="14"/>
        <v>407536.01283846865</v>
      </c>
      <c r="J31" s="72">
        <f t="shared" si="18"/>
        <v>380259.225210084</v>
      </c>
      <c r="K31" s="72">
        <f t="shared" si="22"/>
        <v>771436.27058823523</v>
      </c>
      <c r="M31" s="72">
        <f t="shared" si="2"/>
        <v>42330.365079364972</v>
      </c>
      <c r="N31" s="20">
        <f t="shared" si="7"/>
        <v>-51787.725490196201</v>
      </c>
      <c r="O31" s="72">
        <f t="shared" si="11"/>
        <v>-103296.86414565839</v>
      </c>
      <c r="P31" s="20">
        <f t="shared" si="15"/>
        <v>-140695.51283846889</v>
      </c>
      <c r="Q31" s="72">
        <f t="shared" si="19"/>
        <v>-167972.30046685354</v>
      </c>
      <c r="R31" s="72">
        <f t="shared" si="23"/>
        <v>223204.74491129769</v>
      </c>
      <c r="S31" s="13"/>
      <c r="U31" s="162">
        <f t="shared" si="3"/>
        <v>7.7212570048934864E-2</v>
      </c>
      <c r="V31" s="160">
        <f t="shared" si="4"/>
        <v>-9.4463238731575111E-2</v>
      </c>
      <c r="W31" s="162">
        <f t="shared" si="8"/>
        <v>-0.18841832201844094</v>
      </c>
      <c r="X31" s="160">
        <f t="shared" si="12"/>
        <v>-0.2566352102147772</v>
      </c>
      <c r="Y31" s="162">
        <f t="shared" si="16"/>
        <v>-0.30638934938928786</v>
      </c>
      <c r="Z31" s="160">
        <f t="shared" si="20"/>
        <v>0.40713591695715073</v>
      </c>
      <c r="AG31" s="162">
        <f t="shared" si="0"/>
        <v>7.7212570048934864E-2</v>
      </c>
      <c r="AH31" s="162">
        <f t="shared" si="5"/>
        <v>9.4463238731575111E-2</v>
      </c>
      <c r="AI31" s="162">
        <f t="shared" si="9"/>
        <v>0.18841832201844094</v>
      </c>
      <c r="AJ31" s="162">
        <f t="shared" si="13"/>
        <v>0.2566352102147772</v>
      </c>
      <c r="AK31" s="162">
        <f t="shared" si="17"/>
        <v>0.30638934938928786</v>
      </c>
      <c r="AL31" s="162">
        <f t="shared" si="21"/>
        <v>0.40713591695715073</v>
      </c>
    </row>
    <row r="32" spans="1:38">
      <c r="A32" s="114">
        <f>WILD_CHUM_DATA!A38</f>
        <v>1998</v>
      </c>
      <c r="B32" s="72">
        <f>WILD_CHUM_DATA!O38</f>
        <v>296630.17647058825</v>
      </c>
      <c r="C32" s="72">
        <f>WILD_CHUM_DATA!R38</f>
        <v>480629.15266106447</v>
      </c>
      <c r="E32" s="72">
        <f t="shared" si="1"/>
        <v>548231.52567693754</v>
      </c>
      <c r="F32" s="13"/>
      <c r="G32" s="72">
        <f t="shared" si="6"/>
        <v>569396.70821662003</v>
      </c>
      <c r="H32" s="72">
        <f t="shared" si="10"/>
        <v>513706.37535014004</v>
      </c>
      <c r="I32" s="72">
        <f t="shared" si="14"/>
        <v>470758.87756769377</v>
      </c>
      <c r="J32" s="72">
        <f t="shared" si="18"/>
        <v>435675.11540616245</v>
      </c>
      <c r="K32" s="72">
        <f t="shared" si="22"/>
        <v>631386.55219421093</v>
      </c>
      <c r="M32" s="72">
        <f t="shared" si="2"/>
        <v>67602.373015873076</v>
      </c>
      <c r="N32" s="20">
        <f t="shared" si="7"/>
        <v>88767.555555555562</v>
      </c>
      <c r="O32" s="72">
        <f t="shared" si="11"/>
        <v>33077.22268907557</v>
      </c>
      <c r="P32" s="20">
        <f t="shared" si="15"/>
        <v>-9870.2750933706993</v>
      </c>
      <c r="Q32" s="72">
        <f t="shared" si="19"/>
        <v>-44954.03725490201</v>
      </c>
      <c r="R32" s="72">
        <f t="shared" si="23"/>
        <v>150757.39953314647</v>
      </c>
      <c r="S32" s="13"/>
      <c r="U32" s="162">
        <f t="shared" si="3"/>
        <v>0.14065391714502529</v>
      </c>
      <c r="V32" s="160">
        <f t="shared" si="4"/>
        <v>0.18469032738460139</v>
      </c>
      <c r="W32" s="162">
        <f t="shared" si="8"/>
        <v>6.8820674954774008E-2</v>
      </c>
      <c r="X32" s="160">
        <f t="shared" si="12"/>
        <v>-2.0536155659145239E-2</v>
      </c>
      <c r="Y32" s="162">
        <f t="shared" si="16"/>
        <v>-9.3531649102032752E-2</v>
      </c>
      <c r="Z32" s="160">
        <f t="shared" si="20"/>
        <v>0.31366678175566121</v>
      </c>
      <c r="AG32" s="162">
        <f t="shared" si="0"/>
        <v>0.14065391714502529</v>
      </c>
      <c r="AH32" s="162">
        <f t="shared" si="5"/>
        <v>0.18469032738460139</v>
      </c>
      <c r="AI32" s="162">
        <f t="shared" si="9"/>
        <v>6.8820674954774008E-2</v>
      </c>
      <c r="AJ32" s="162">
        <f t="shared" si="13"/>
        <v>2.0536155659145239E-2</v>
      </c>
      <c r="AK32" s="162">
        <f t="shared" si="17"/>
        <v>9.3531649102032752E-2</v>
      </c>
      <c r="AL32" s="162">
        <f t="shared" si="21"/>
        <v>0.31366678175566121</v>
      </c>
    </row>
    <row r="33" spans="1:38">
      <c r="A33" s="114">
        <f>WILD_CHUM_DATA!A39</f>
        <v>1999</v>
      </c>
      <c r="B33" s="72">
        <f>WILD_CHUM_DATA!O39</f>
        <v>340699.17647058819</v>
      </c>
      <c r="C33" s="72">
        <f>WILD_CHUM_DATA!R39</f>
        <v>593087.47805788985</v>
      </c>
      <c r="E33" s="72">
        <f t="shared" si="1"/>
        <v>480629.15266106447</v>
      </c>
      <c r="F33" s="13"/>
      <c r="G33" s="72">
        <f t="shared" si="6"/>
        <v>514430.33916900097</v>
      </c>
      <c r="H33" s="72">
        <f t="shared" si="10"/>
        <v>539807.52303143486</v>
      </c>
      <c r="I33" s="72">
        <f t="shared" si="14"/>
        <v>505437.06967787113</v>
      </c>
      <c r="J33" s="72">
        <f t="shared" si="18"/>
        <v>472732.93258636788</v>
      </c>
      <c r="K33" s="72">
        <f t="shared" si="22"/>
        <v>490248.67427637725</v>
      </c>
      <c r="M33" s="72">
        <f t="shared" si="2"/>
        <v>-112458.32539682538</v>
      </c>
      <c r="N33" s="20">
        <f t="shared" si="7"/>
        <v>-78657.138888888876</v>
      </c>
      <c r="O33" s="72">
        <f t="shared" si="11"/>
        <v>-53279.955026454991</v>
      </c>
      <c r="P33" s="20">
        <f t="shared" si="15"/>
        <v>-87650.408380018722</v>
      </c>
      <c r="Q33" s="72">
        <f t="shared" si="19"/>
        <v>-120354.54547152197</v>
      </c>
      <c r="R33" s="72">
        <f t="shared" si="23"/>
        <v>-102838.8037815126</v>
      </c>
      <c r="S33" s="13"/>
      <c r="U33" s="162">
        <f t="shared" si="3"/>
        <v>-0.18961507291484006</v>
      </c>
      <c r="V33" s="160">
        <f t="shared" si="4"/>
        <v>-0.13262316571993338</v>
      </c>
      <c r="W33" s="162">
        <f t="shared" si="8"/>
        <v>-8.9834901254237001E-2</v>
      </c>
      <c r="X33" s="160">
        <f t="shared" si="12"/>
        <v>-0.14778664467345806</v>
      </c>
      <c r="Y33" s="162">
        <f t="shared" si="16"/>
        <v>-0.20292882571999682</v>
      </c>
      <c r="Z33" s="160">
        <f t="shared" si="20"/>
        <v>-0.17339567531971187</v>
      </c>
      <c r="AG33" s="162">
        <f t="shared" si="0"/>
        <v>0.18961507291484006</v>
      </c>
      <c r="AH33" s="162">
        <f t="shared" si="5"/>
        <v>0.13262316571993338</v>
      </c>
      <c r="AI33" s="162">
        <f t="shared" si="9"/>
        <v>8.9834901254237001E-2</v>
      </c>
      <c r="AJ33" s="162">
        <f t="shared" si="13"/>
        <v>0.14778664467345806</v>
      </c>
      <c r="AK33" s="162">
        <f t="shared" si="17"/>
        <v>0.20292882571999682</v>
      </c>
      <c r="AL33" s="162">
        <f t="shared" si="21"/>
        <v>0.17339567531971187</v>
      </c>
    </row>
    <row r="34" spans="1:38">
      <c r="A34" s="114">
        <f>WILD_CHUM_DATA!A40</f>
        <v>2000</v>
      </c>
      <c r="B34" s="72">
        <f>WILD_CHUM_DATA!O40</f>
        <v>463210.17647058825</v>
      </c>
      <c r="C34" s="72">
        <f>WILD_CHUM_DATA!R40</f>
        <v>860702.34313725494</v>
      </c>
      <c r="E34" s="72">
        <f t="shared" si="1"/>
        <v>593087.47805788985</v>
      </c>
      <c r="F34" s="13"/>
      <c r="G34" s="72">
        <f t="shared" si="6"/>
        <v>536858.31535947719</v>
      </c>
      <c r="H34" s="72">
        <f t="shared" si="10"/>
        <v>540649.38546529727</v>
      </c>
      <c r="I34" s="72">
        <f t="shared" si="14"/>
        <v>553127.51178804855</v>
      </c>
      <c r="J34" s="72">
        <f t="shared" si="18"/>
        <v>522967.15135387488</v>
      </c>
      <c r="K34" s="72">
        <f t="shared" si="22"/>
        <v>452990.32572362281</v>
      </c>
      <c r="M34" s="72">
        <f t="shared" si="2"/>
        <v>-267614.86507936509</v>
      </c>
      <c r="N34" s="20">
        <f t="shared" si="7"/>
        <v>-323844.02777777775</v>
      </c>
      <c r="O34" s="72">
        <f t="shared" si="11"/>
        <v>-320052.95767195767</v>
      </c>
      <c r="P34" s="20">
        <f t="shared" si="15"/>
        <v>-307574.83134920639</v>
      </c>
      <c r="Q34" s="72">
        <f t="shared" si="19"/>
        <v>-337735.19178338005</v>
      </c>
      <c r="R34" s="72">
        <f t="shared" si="23"/>
        <v>-407712.01741363213</v>
      </c>
      <c r="S34" s="13"/>
      <c r="U34" s="162">
        <f t="shared" si="3"/>
        <v>-0.31092614910737953</v>
      </c>
      <c r="V34" s="160">
        <f t="shared" si="4"/>
        <v>-0.37625554334773642</v>
      </c>
      <c r="W34" s="162">
        <f t="shared" si="8"/>
        <v>-0.37185091945418264</v>
      </c>
      <c r="X34" s="160">
        <f t="shared" si="12"/>
        <v>-0.35735331012124116</v>
      </c>
      <c r="Y34" s="162">
        <f t="shared" si="16"/>
        <v>-0.39239487899189085</v>
      </c>
      <c r="Z34" s="160">
        <f t="shared" si="20"/>
        <v>-0.47369688332382626</v>
      </c>
      <c r="AG34" s="162">
        <f t="shared" si="0"/>
        <v>0.31092614910737953</v>
      </c>
      <c r="AH34" s="162">
        <f t="shared" si="5"/>
        <v>0.37625554334773642</v>
      </c>
      <c r="AI34" s="162">
        <f t="shared" si="9"/>
        <v>0.37185091945418264</v>
      </c>
      <c r="AJ34" s="162">
        <f t="shared" si="13"/>
        <v>0.35735331012124116</v>
      </c>
      <c r="AK34" s="162">
        <f t="shared" si="17"/>
        <v>0.39239487899189085</v>
      </c>
      <c r="AL34" s="162">
        <f t="shared" si="21"/>
        <v>0.47369688332382626</v>
      </c>
    </row>
    <row r="35" spans="1:38">
      <c r="A35" s="114">
        <f>WILD_CHUM_DATA!A41</f>
        <v>2001</v>
      </c>
      <c r="B35" s="72">
        <f>WILD_CHUM_DATA!O41</f>
        <v>456957.17647058825</v>
      </c>
      <c r="C35" s="72">
        <f>WILD_CHUM_DATA!R41</f>
        <v>903342.43837535009</v>
      </c>
      <c r="E35" s="72">
        <f t="shared" si="1"/>
        <v>860702.34313725494</v>
      </c>
      <c r="F35" s="13"/>
      <c r="G35" s="72">
        <f t="shared" si="6"/>
        <v>726894.91059757234</v>
      </c>
      <c r="H35" s="72">
        <f t="shared" si="10"/>
        <v>644806.3246187364</v>
      </c>
      <c r="I35" s="72">
        <f t="shared" si="14"/>
        <v>620662.62488328665</v>
      </c>
      <c r="J35" s="72">
        <f t="shared" si="18"/>
        <v>614642.47805788985</v>
      </c>
      <c r="K35" s="72">
        <f t="shared" si="22"/>
        <v>466273.17082166206</v>
      </c>
      <c r="M35" s="72">
        <f t="shared" si="2"/>
        <v>-42640.095238095149</v>
      </c>
      <c r="N35" s="20">
        <f t="shared" si="7"/>
        <v>-176447.52777777775</v>
      </c>
      <c r="O35" s="72">
        <f t="shared" si="11"/>
        <v>-258536.11375661369</v>
      </c>
      <c r="P35" s="20">
        <f t="shared" si="15"/>
        <v>-282679.81349206343</v>
      </c>
      <c r="Q35" s="72">
        <f t="shared" si="19"/>
        <v>-288699.96031746024</v>
      </c>
      <c r="R35" s="72">
        <f t="shared" si="23"/>
        <v>-437069.26755368803</v>
      </c>
      <c r="S35" s="13"/>
      <c r="U35" s="162">
        <f t="shared" si="3"/>
        <v>-4.7202581686279256E-2</v>
      </c>
      <c r="V35" s="160">
        <f t="shared" si="4"/>
        <v>-0.19532739776414842</v>
      </c>
      <c r="W35" s="162">
        <f t="shared" si="8"/>
        <v>-0.28619945523824564</v>
      </c>
      <c r="X35" s="160">
        <f t="shared" si="12"/>
        <v>-0.31292652872642568</v>
      </c>
      <c r="Y35" s="162">
        <f t="shared" si="16"/>
        <v>-0.31959083073378403</v>
      </c>
      <c r="Z35" s="160">
        <f t="shared" si="20"/>
        <v>-0.48383564082271124</v>
      </c>
      <c r="AG35" s="162">
        <f t="shared" si="0"/>
        <v>4.7202581686279256E-2</v>
      </c>
      <c r="AH35" s="162">
        <f t="shared" si="5"/>
        <v>0.19532739776414842</v>
      </c>
      <c r="AI35" s="162">
        <f t="shared" si="9"/>
        <v>0.28619945523824564</v>
      </c>
      <c r="AJ35" s="162">
        <f t="shared" si="13"/>
        <v>0.31292652872642568</v>
      </c>
      <c r="AK35" s="162">
        <f t="shared" si="17"/>
        <v>0.31959083073378403</v>
      </c>
      <c r="AL35" s="162">
        <f t="shared" si="21"/>
        <v>0.48383564082271124</v>
      </c>
    </row>
    <row r="36" spans="1:38">
      <c r="A36" s="114">
        <f>WILD_CHUM_DATA!A42</f>
        <v>2002</v>
      </c>
      <c r="B36" s="72">
        <f>WILD_CHUM_DATA!O42</f>
        <v>180304</v>
      </c>
      <c r="C36" s="72">
        <f>WILD_CHUM_DATA!R42</f>
        <v>472901.04761904763</v>
      </c>
      <c r="E36" s="72">
        <f t="shared" si="1"/>
        <v>903342.43837535009</v>
      </c>
      <c r="F36" s="13"/>
      <c r="G36" s="72">
        <f t="shared" si="6"/>
        <v>882022.39075630251</v>
      </c>
      <c r="H36" s="72">
        <f t="shared" si="10"/>
        <v>785710.75319016492</v>
      </c>
      <c r="I36" s="72">
        <f t="shared" si="14"/>
        <v>709440.35305788985</v>
      </c>
      <c r="J36" s="72">
        <f t="shared" si="18"/>
        <v>677198.58758169936</v>
      </c>
      <c r="K36" s="72">
        <f t="shared" si="22"/>
        <v>528728.90639589168</v>
      </c>
      <c r="M36" s="72">
        <f t="shared" si="2"/>
        <v>430441.39075630245</v>
      </c>
      <c r="N36" s="20">
        <f t="shared" si="7"/>
        <v>409121.34313725488</v>
      </c>
      <c r="O36" s="72">
        <f t="shared" si="11"/>
        <v>312809.70557111729</v>
      </c>
      <c r="P36" s="20">
        <f t="shared" si="15"/>
        <v>236539.30543884222</v>
      </c>
      <c r="Q36" s="72">
        <f t="shared" si="19"/>
        <v>204297.53996265173</v>
      </c>
      <c r="R36" s="72">
        <f t="shared" si="23"/>
        <v>55827.858776844048</v>
      </c>
      <c r="S36" s="20"/>
      <c r="U36" s="162">
        <f t="shared" si="3"/>
        <v>0.91021450031350071</v>
      </c>
      <c r="V36" s="160">
        <f t="shared" si="4"/>
        <v>0.86513097231881919</v>
      </c>
      <c r="W36" s="162">
        <f t="shared" si="8"/>
        <v>0.66146968196844791</v>
      </c>
      <c r="X36" s="160">
        <f t="shared" si="12"/>
        <v>0.50018773828005969</v>
      </c>
      <c r="Y36" s="162">
        <f t="shared" si="16"/>
        <v>0.43200906614871071</v>
      </c>
      <c r="Z36" s="160">
        <f t="shared" si="20"/>
        <v>0.11805399683067946</v>
      </c>
      <c r="AG36" s="162">
        <f t="shared" si="0"/>
        <v>0.91021450031350071</v>
      </c>
      <c r="AH36" s="162">
        <f t="shared" si="5"/>
        <v>0.86513097231881919</v>
      </c>
      <c r="AI36" s="162">
        <f t="shared" si="9"/>
        <v>0.66146968196844791</v>
      </c>
      <c r="AJ36" s="162">
        <f t="shared" si="13"/>
        <v>0.50018773828005969</v>
      </c>
      <c r="AK36" s="162">
        <f t="shared" si="17"/>
        <v>0.43200906614871071</v>
      </c>
      <c r="AL36" s="162">
        <f t="shared" si="21"/>
        <v>0.11805399683067946</v>
      </c>
    </row>
    <row r="37" spans="1:38">
      <c r="A37" s="114">
        <f>WILD_CHUM_DATA!A43</f>
        <v>2003</v>
      </c>
      <c r="B37" s="72">
        <f>WILD_CHUM_DATA!O43</f>
        <v>320755</v>
      </c>
      <c r="C37" s="72">
        <f>WILD_CHUM_DATA!R43</f>
        <v>867191.27777777787</v>
      </c>
      <c r="E37" s="72">
        <f t="shared" si="1"/>
        <v>472901.04761904763</v>
      </c>
      <c r="F37" s="13"/>
      <c r="G37" s="72">
        <f t="shared" si="6"/>
        <v>688121.74299719883</v>
      </c>
      <c r="H37" s="72">
        <f t="shared" si="10"/>
        <v>745648.60971055087</v>
      </c>
      <c r="I37" s="72">
        <f t="shared" si="14"/>
        <v>707508.32679738558</v>
      </c>
      <c r="J37" s="72">
        <f t="shared" si="18"/>
        <v>662132.49197012139</v>
      </c>
      <c r="K37" s="72">
        <f t="shared" si="22"/>
        <v>548903.80368814198</v>
      </c>
      <c r="M37" s="72">
        <f t="shared" si="2"/>
        <v>-394290.23015873024</v>
      </c>
      <c r="N37" s="20">
        <f t="shared" si="7"/>
        <v>-179069.53478057904</v>
      </c>
      <c r="O37" s="72">
        <f t="shared" si="11"/>
        <v>-121542.668067227</v>
      </c>
      <c r="P37" s="20">
        <f t="shared" si="15"/>
        <v>-159682.95098039228</v>
      </c>
      <c r="Q37" s="72">
        <f t="shared" si="19"/>
        <v>-205058.78580765647</v>
      </c>
      <c r="R37" s="72">
        <f t="shared" si="23"/>
        <v>-318287.47408963589</v>
      </c>
      <c r="S37" s="13"/>
      <c r="U37" s="162">
        <f t="shared" si="3"/>
        <v>-0.45467504143851534</v>
      </c>
      <c r="V37" s="160">
        <f t="shared" si="4"/>
        <v>-0.20649369910575427</v>
      </c>
      <c r="W37" s="162">
        <f t="shared" si="8"/>
        <v>-0.14015670035183739</v>
      </c>
      <c r="X37" s="160">
        <f t="shared" si="12"/>
        <v>-0.18413809625667366</v>
      </c>
      <c r="Y37" s="162">
        <f t="shared" si="16"/>
        <v>-0.23646315531808637</v>
      </c>
      <c r="Z37" s="160">
        <f t="shared" si="20"/>
        <v>-0.36703260543079247</v>
      </c>
      <c r="AG37" s="162">
        <f t="shared" si="0"/>
        <v>0.45467504143851534</v>
      </c>
      <c r="AH37" s="162">
        <f t="shared" si="5"/>
        <v>0.20649369910575427</v>
      </c>
      <c r="AI37" s="162">
        <f t="shared" si="9"/>
        <v>0.14015670035183739</v>
      </c>
      <c r="AJ37" s="162">
        <f t="shared" si="13"/>
        <v>0.18413809625667366</v>
      </c>
      <c r="AK37" s="162">
        <f t="shared" si="17"/>
        <v>0.23646315531808637</v>
      </c>
      <c r="AL37" s="162">
        <f t="shared" si="21"/>
        <v>0.36703260543079247</v>
      </c>
    </row>
    <row r="38" spans="1:38">
      <c r="A38" s="114">
        <f>WILD_CHUM_DATA!A44</f>
        <v>2004</v>
      </c>
      <c r="B38" s="72">
        <f>WILD_CHUM_DATA!O44</f>
        <v>213848</v>
      </c>
      <c r="C38" s="72">
        <f>WILD_CHUM_DATA!R44</f>
        <v>503590.10317460314</v>
      </c>
      <c r="E38" s="72">
        <f t="shared" si="1"/>
        <v>867191.27777777787</v>
      </c>
      <c r="F38" s="13"/>
      <c r="G38" s="72">
        <f t="shared" si="6"/>
        <v>670046.16269841278</v>
      </c>
      <c r="H38" s="72">
        <f t="shared" si="10"/>
        <v>747811.58792405855</v>
      </c>
      <c r="I38" s="72">
        <f t="shared" si="14"/>
        <v>776034.27672735765</v>
      </c>
      <c r="J38" s="72">
        <f t="shared" si="18"/>
        <v>739444.91699346411</v>
      </c>
      <c r="K38" s="72">
        <f t="shared" si="22"/>
        <v>606088.92478991603</v>
      </c>
      <c r="M38" s="72">
        <f t="shared" si="2"/>
        <v>363601.17460317473</v>
      </c>
      <c r="N38" s="20">
        <f t="shared" si="7"/>
        <v>166456.05952380964</v>
      </c>
      <c r="O38" s="72">
        <f t="shared" si="11"/>
        <v>244221.48474945541</v>
      </c>
      <c r="P38" s="20">
        <f t="shared" si="15"/>
        <v>272444.17355275451</v>
      </c>
      <c r="Q38" s="72">
        <f t="shared" si="19"/>
        <v>235854.81381886097</v>
      </c>
      <c r="R38" s="72">
        <f t="shared" si="23"/>
        <v>102498.82161531289</v>
      </c>
      <c r="S38" s="20"/>
      <c r="U38" s="162">
        <f t="shared" si="3"/>
        <v>0.72201811018734041</v>
      </c>
      <c r="V38" s="160">
        <f t="shared" si="4"/>
        <v>0.330538782383689</v>
      </c>
      <c r="W38" s="162">
        <f t="shared" si="8"/>
        <v>0.48496085052088428</v>
      </c>
      <c r="X38" s="160">
        <f t="shared" si="12"/>
        <v>0.54100382798486712</v>
      </c>
      <c r="Y38" s="162">
        <f t="shared" si="16"/>
        <v>0.46834680096381115</v>
      </c>
      <c r="Z38" s="160">
        <f t="shared" si="20"/>
        <v>0.20353621123442694</v>
      </c>
      <c r="AG38" s="162">
        <f t="shared" si="0"/>
        <v>0.72201811018734041</v>
      </c>
      <c r="AH38" s="162">
        <f t="shared" si="5"/>
        <v>0.330538782383689</v>
      </c>
      <c r="AI38" s="162">
        <f t="shared" si="9"/>
        <v>0.48496085052088428</v>
      </c>
      <c r="AJ38" s="162">
        <f t="shared" si="13"/>
        <v>0.54100382798486712</v>
      </c>
      <c r="AK38" s="162">
        <f t="shared" si="17"/>
        <v>0.46834680096381115</v>
      </c>
      <c r="AL38" s="162">
        <f t="shared" si="21"/>
        <v>0.20353621123442694</v>
      </c>
    </row>
    <row r="39" spans="1:38">
      <c r="A39" s="114">
        <f>WILD_CHUM_DATA!A45</f>
        <v>2005</v>
      </c>
      <c r="B39" s="72">
        <f>WILD_CHUM_DATA!O45</f>
        <v>66384</v>
      </c>
      <c r="C39" s="72">
        <f>WILD_CHUM_DATA!R45</f>
        <v>312367.01587301586</v>
      </c>
      <c r="E39" s="72">
        <f t="shared" si="1"/>
        <v>503590.10317460314</v>
      </c>
      <c r="F39" s="13"/>
      <c r="G39" s="72">
        <f t="shared" si="6"/>
        <v>685390.69047619053</v>
      </c>
      <c r="H39" s="72">
        <f t="shared" si="10"/>
        <v>614560.80952380958</v>
      </c>
      <c r="I39" s="72">
        <f t="shared" si="14"/>
        <v>686756.21673669468</v>
      </c>
      <c r="J39" s="72">
        <f t="shared" si="18"/>
        <v>721545.44201680669</v>
      </c>
      <c r="K39" s="72">
        <f t="shared" si="22"/>
        <v>622256.29668534081</v>
      </c>
      <c r="M39" s="72">
        <f t="shared" si="2"/>
        <v>191223.08730158728</v>
      </c>
      <c r="N39" s="20">
        <f t="shared" si="7"/>
        <v>373023.67460317467</v>
      </c>
      <c r="O39" s="72">
        <f t="shared" si="11"/>
        <v>302193.79365079373</v>
      </c>
      <c r="P39" s="20">
        <f t="shared" si="15"/>
        <v>374389.20086367882</v>
      </c>
      <c r="Q39" s="72">
        <f t="shared" si="19"/>
        <v>409178.42614379083</v>
      </c>
      <c r="R39" s="72">
        <f t="shared" si="23"/>
        <v>309889.28081232496</v>
      </c>
      <c r="S39" s="13"/>
      <c r="U39" s="162">
        <f t="shared" si="3"/>
        <v>0.61217438969075955</v>
      </c>
      <c r="V39" s="160">
        <f t="shared" si="4"/>
        <v>1.1941839427592351</v>
      </c>
      <c r="W39" s="162">
        <f t="shared" si="8"/>
        <v>0.96743182952979334</v>
      </c>
      <c r="X39" s="160">
        <f t="shared" si="12"/>
        <v>1.1985554871000732</v>
      </c>
      <c r="Y39" s="162">
        <f t="shared" si="16"/>
        <v>1.3099284026522537</v>
      </c>
      <c r="Z39" s="160">
        <f t="shared" si="20"/>
        <v>0.9920678722951396</v>
      </c>
      <c r="AG39" s="162">
        <f t="shared" si="0"/>
        <v>0.61217438969075955</v>
      </c>
      <c r="AH39" s="162">
        <f t="shared" si="5"/>
        <v>1.1941839427592351</v>
      </c>
      <c r="AI39" s="162">
        <f t="shared" si="9"/>
        <v>0.96743182952979334</v>
      </c>
      <c r="AJ39" s="162">
        <f t="shared" si="13"/>
        <v>1.1985554871000732</v>
      </c>
      <c r="AK39" s="162">
        <f t="shared" si="17"/>
        <v>1.3099284026522537</v>
      </c>
      <c r="AL39" s="162">
        <f t="shared" si="21"/>
        <v>0.9920678722951396</v>
      </c>
    </row>
    <row r="40" spans="1:38">
      <c r="A40" s="114">
        <f>WILD_CHUM_DATA!A46</f>
        <v>2006</v>
      </c>
      <c r="B40" s="72">
        <f>WILD_CHUM_DATA!O46</f>
        <v>150464</v>
      </c>
      <c r="C40" s="72">
        <f>WILD_CHUM_DATA!R46</f>
        <v>455159.42857142864</v>
      </c>
      <c r="E40" s="72">
        <f t="shared" si="1"/>
        <v>312367.01587301586</v>
      </c>
      <c r="F40" s="13"/>
      <c r="G40" s="72">
        <f t="shared" si="6"/>
        <v>407978.55952380947</v>
      </c>
      <c r="H40" s="72">
        <f t="shared" si="10"/>
        <v>561049.4656084656</v>
      </c>
      <c r="I40" s="72">
        <f t="shared" si="14"/>
        <v>539012.36111111112</v>
      </c>
      <c r="J40" s="72">
        <f t="shared" si="18"/>
        <v>611878.37656395894</v>
      </c>
      <c r="K40" s="72">
        <f t="shared" si="22"/>
        <v>613260.42731092439</v>
      </c>
      <c r="M40" s="72">
        <f t="shared" si="2"/>
        <v>-142792.41269841278</v>
      </c>
      <c r="N40" s="20">
        <f t="shared" si="7"/>
        <v>-47180.86904761917</v>
      </c>
      <c r="O40" s="72">
        <f t="shared" si="11"/>
        <v>105890.03703703696</v>
      </c>
      <c r="P40" s="20">
        <f t="shared" si="15"/>
        <v>83852.932539682486</v>
      </c>
      <c r="Q40" s="72">
        <f t="shared" si="19"/>
        <v>156718.9479925303</v>
      </c>
      <c r="R40" s="72">
        <f t="shared" si="23"/>
        <v>158100.99873949576</v>
      </c>
      <c r="S40" s="13"/>
      <c r="U40" s="162">
        <f t="shared" si="3"/>
        <v>-0.31371955349048475</v>
      </c>
      <c r="V40" s="160">
        <f t="shared" si="4"/>
        <v>-0.1036578967411526</v>
      </c>
      <c r="W40" s="162">
        <f t="shared" si="8"/>
        <v>0.23264383947704936</v>
      </c>
      <c r="X40" s="160">
        <f t="shared" si="12"/>
        <v>0.18422760746243305</v>
      </c>
      <c r="Y40" s="162">
        <f t="shared" si="16"/>
        <v>0.34431660239228951</v>
      </c>
      <c r="Z40" s="160">
        <f t="shared" si="20"/>
        <v>0.34735301262617874</v>
      </c>
      <c r="AG40" s="162">
        <f t="shared" si="0"/>
        <v>0.31371955349048475</v>
      </c>
      <c r="AH40" s="162">
        <f t="shared" si="5"/>
        <v>0.1036578967411526</v>
      </c>
      <c r="AI40" s="162">
        <f t="shared" si="9"/>
        <v>0.23264383947704936</v>
      </c>
      <c r="AJ40" s="162">
        <f t="shared" si="13"/>
        <v>0.18422760746243305</v>
      </c>
      <c r="AK40" s="162">
        <f t="shared" si="17"/>
        <v>0.34431660239228951</v>
      </c>
      <c r="AL40" s="162">
        <f t="shared" si="21"/>
        <v>0.34735301262617874</v>
      </c>
    </row>
    <row r="41" spans="1:38">
      <c r="A41" s="114">
        <f>WILD_CHUM_DATA!A47</f>
        <v>2007</v>
      </c>
      <c r="B41" s="72">
        <f>WILD_CHUM_DATA!O47</f>
        <v>117002</v>
      </c>
      <c r="C41" s="72">
        <f>WILD_CHUM_DATA!R47</f>
        <v>440008.56349206355</v>
      </c>
      <c r="E41" s="72">
        <f t="shared" si="1"/>
        <v>455159.42857142864</v>
      </c>
      <c r="F41" s="13"/>
      <c r="G41" s="72">
        <f t="shared" si="6"/>
        <v>383763.22222222225</v>
      </c>
      <c r="H41" s="72">
        <f t="shared" si="10"/>
        <v>423705.51587301586</v>
      </c>
      <c r="I41" s="72">
        <f t="shared" si="14"/>
        <v>534576.95634920639</v>
      </c>
      <c r="J41" s="72">
        <f t="shared" si="18"/>
        <v>522241.77460317465</v>
      </c>
      <c r="K41" s="72">
        <f t="shared" si="22"/>
        <v>599720.18109243701</v>
      </c>
      <c r="M41" s="72">
        <f t="shared" si="2"/>
        <v>15150.865079365089</v>
      </c>
      <c r="N41" s="20">
        <f t="shared" si="7"/>
        <v>-56245.341269841301</v>
      </c>
      <c r="O41" s="72">
        <f t="shared" si="11"/>
        <v>-16303.047619047691</v>
      </c>
      <c r="P41" s="20">
        <f t="shared" si="15"/>
        <v>94568.392857142841</v>
      </c>
      <c r="Q41" s="72">
        <f t="shared" si="19"/>
        <v>82233.211111111101</v>
      </c>
      <c r="R41" s="72">
        <f t="shared" si="23"/>
        <v>159711.61760037346</v>
      </c>
      <c r="S41" s="13"/>
      <c r="U41" s="162">
        <f t="shared" si="3"/>
        <v>3.4433114117421865E-2</v>
      </c>
      <c r="V41" s="160">
        <f t="shared" si="4"/>
        <v>-0.12782783322092275</v>
      </c>
      <c r="W41" s="162">
        <f t="shared" si="8"/>
        <v>-3.7051659835119891E-2</v>
      </c>
      <c r="X41" s="160">
        <f t="shared" si="12"/>
        <v>0.21492398263028029</v>
      </c>
      <c r="Y41" s="162">
        <f t="shared" si="16"/>
        <v>0.1868900242724352</v>
      </c>
      <c r="Z41" s="160">
        <f t="shared" si="20"/>
        <v>0.3629738847190736</v>
      </c>
      <c r="AG41" s="162">
        <f t="shared" si="0"/>
        <v>3.4433114117421865E-2</v>
      </c>
      <c r="AH41" s="162">
        <f t="shared" si="5"/>
        <v>0.12782783322092275</v>
      </c>
      <c r="AI41" s="162">
        <f t="shared" si="9"/>
        <v>3.7051659835119891E-2</v>
      </c>
      <c r="AJ41" s="162">
        <f t="shared" si="13"/>
        <v>0.21492398263028029</v>
      </c>
      <c r="AK41" s="162">
        <f t="shared" si="17"/>
        <v>0.1868900242724352</v>
      </c>
      <c r="AL41" s="162">
        <f t="shared" si="21"/>
        <v>0.3629738847190736</v>
      </c>
    </row>
    <row r="42" spans="1:38">
      <c r="A42" s="114">
        <f>WILD_CHUM_DATA!A48</f>
        <v>2008</v>
      </c>
      <c r="B42" s="72">
        <f>WILD_CHUM_DATA!O48</f>
        <v>182016</v>
      </c>
      <c r="C42" s="72">
        <f>WILD_CHUM_DATA!R48</f>
        <v>427660</v>
      </c>
      <c r="E42" s="72">
        <f t="shared" si="1"/>
        <v>440008.56349206355</v>
      </c>
      <c r="F42" s="13"/>
      <c r="G42" s="72">
        <f t="shared" si="6"/>
        <v>447583.99603174609</v>
      </c>
      <c r="H42" s="72">
        <f t="shared" si="10"/>
        <v>402511.66931216931</v>
      </c>
      <c r="I42" s="72">
        <f t="shared" si="14"/>
        <v>427781.27777777775</v>
      </c>
      <c r="J42" s="72">
        <f t="shared" si="18"/>
        <v>515663.27777777781</v>
      </c>
      <c r="K42" s="72">
        <f t="shared" si="22"/>
        <v>588897.88487394957</v>
      </c>
      <c r="M42" s="72">
        <f t="shared" si="2"/>
        <v>12348.563492063549</v>
      </c>
      <c r="N42" s="20">
        <f t="shared" si="7"/>
        <v>19923.996031746094</v>
      </c>
      <c r="O42" s="72">
        <f t="shared" si="11"/>
        <v>-25148.33068783069</v>
      </c>
      <c r="P42" s="20">
        <f t="shared" si="15"/>
        <v>121.27777777775191</v>
      </c>
      <c r="Q42" s="72">
        <f t="shared" si="19"/>
        <v>88003.27777777781</v>
      </c>
      <c r="R42" s="72">
        <f t="shared" si="23"/>
        <v>161237.88487394957</v>
      </c>
      <c r="S42" s="13"/>
      <c r="U42" s="162">
        <f t="shared" si="3"/>
        <v>2.8874721723012555E-2</v>
      </c>
      <c r="V42" s="160">
        <f t="shared" si="4"/>
        <v>4.6588402075822134E-2</v>
      </c>
      <c r="W42" s="162">
        <f t="shared" si="8"/>
        <v>-5.8804495832742575E-2</v>
      </c>
      <c r="X42" s="160">
        <f t="shared" si="12"/>
        <v>2.8358457133646336E-4</v>
      </c>
      <c r="Y42" s="162">
        <f t="shared" si="16"/>
        <v>0.2057786039792775</v>
      </c>
      <c r="Z42" s="160">
        <f t="shared" si="20"/>
        <v>0.37702353475646444</v>
      </c>
      <c r="AG42" s="162">
        <f t="shared" si="0"/>
        <v>2.8874721723012555E-2</v>
      </c>
      <c r="AH42" s="162">
        <f t="shared" si="5"/>
        <v>4.6588402075822134E-2</v>
      </c>
      <c r="AI42" s="162">
        <f t="shared" si="9"/>
        <v>5.8804495832742575E-2</v>
      </c>
      <c r="AJ42" s="162">
        <f t="shared" si="13"/>
        <v>2.8358457133646336E-4</v>
      </c>
      <c r="AK42" s="162">
        <f t="shared" si="17"/>
        <v>0.2057786039792775</v>
      </c>
      <c r="AL42" s="162">
        <f t="shared" si="21"/>
        <v>0.37702353475646444</v>
      </c>
    </row>
    <row r="43" spans="1:38">
      <c r="A43" s="114">
        <f>WILD_CHUM_DATA!A49</f>
        <v>2009</v>
      </c>
      <c r="B43" s="72">
        <f>WILD_CHUM_DATA!O49</f>
        <v>82871</v>
      </c>
      <c r="C43" s="72">
        <f>WILD_CHUM_DATA!R49</f>
        <v>482920.36507936503</v>
      </c>
      <c r="E43" s="72">
        <f t="shared" si="1"/>
        <v>427660</v>
      </c>
      <c r="F43" s="13"/>
      <c r="G43" s="72">
        <f t="shared" si="6"/>
        <v>433834.28174603177</v>
      </c>
      <c r="H43" s="72">
        <f t="shared" si="10"/>
        <v>440942.664021164</v>
      </c>
      <c r="I43" s="72">
        <f t="shared" si="14"/>
        <v>408798.75198412698</v>
      </c>
      <c r="J43" s="72">
        <f t="shared" si="18"/>
        <v>427757.02222222218</v>
      </c>
      <c r="K43" s="72">
        <f t="shared" si="22"/>
        <v>583600.96960784309</v>
      </c>
      <c r="M43" s="72">
        <f t="shared" si="2"/>
        <v>-55260.36507936503</v>
      </c>
      <c r="N43" s="20">
        <f t="shared" si="7"/>
        <v>-49086.083333333256</v>
      </c>
      <c r="O43" s="72">
        <f t="shared" si="11"/>
        <v>-41977.701058201026</v>
      </c>
      <c r="P43" s="20">
        <f t="shared" si="15"/>
        <v>-74121.613095238048</v>
      </c>
      <c r="Q43" s="72">
        <f t="shared" si="19"/>
        <v>-55163.342857142852</v>
      </c>
      <c r="R43" s="72">
        <f t="shared" si="23"/>
        <v>100680.60452847806</v>
      </c>
      <c r="S43" s="14"/>
      <c r="U43" s="162">
        <f t="shared" si="3"/>
        <v>-0.11442956038990679</v>
      </c>
      <c r="V43" s="160">
        <f t="shared" si="4"/>
        <v>-0.10164426038497311</v>
      </c>
      <c r="W43" s="162">
        <f t="shared" si="8"/>
        <v>-8.6924685918561839E-2</v>
      </c>
      <c r="X43" s="160">
        <f t="shared" si="12"/>
        <v>-0.15348620280914557</v>
      </c>
      <c r="Y43" s="162">
        <f t="shared" si="16"/>
        <v>-0.11422865309910277</v>
      </c>
      <c r="Z43" s="160">
        <f t="shared" si="20"/>
        <v>0.2084828303149564</v>
      </c>
      <c r="AG43" s="162">
        <f t="shared" si="0"/>
        <v>0.11442956038990679</v>
      </c>
      <c r="AH43" s="162">
        <f t="shared" si="5"/>
        <v>0.10164426038497311</v>
      </c>
      <c r="AI43" s="162">
        <f t="shared" si="9"/>
        <v>8.6924685918561839E-2</v>
      </c>
      <c r="AJ43" s="162">
        <f t="shared" si="13"/>
        <v>0.15348620280914557</v>
      </c>
      <c r="AK43" s="162">
        <f t="shared" si="17"/>
        <v>0.11422865309910277</v>
      </c>
      <c r="AL43" s="162">
        <f t="shared" si="21"/>
        <v>0.2084828303149564</v>
      </c>
    </row>
    <row r="44" spans="1:38">
      <c r="A44" s="114">
        <f>WILD_CHUM_DATA!A50</f>
        <v>2010</v>
      </c>
      <c r="B44" s="72">
        <f>WILD_CHUM_DATA!O50</f>
        <v>91872.380946631209</v>
      </c>
      <c r="C44" s="72">
        <f>WILD_CHUM_DATA!R50</f>
        <v>589913.37301012326</v>
      </c>
      <c r="E44" s="72">
        <f>C43</f>
        <v>482920.36507936503</v>
      </c>
      <c r="G44" s="72">
        <f>AVERAGE(C42:C43)</f>
        <v>455290.18253968249</v>
      </c>
      <c r="H44" s="72">
        <f>AVERAGE(C41:C43)</f>
        <v>450196.30952380953</v>
      </c>
      <c r="I44" s="72">
        <f t="shared" si="14"/>
        <v>451437.08928571426</v>
      </c>
      <c r="J44" s="72">
        <f>AVERAGE(C39:C43)</f>
        <v>423623.07460317464</v>
      </c>
      <c r="K44" s="72">
        <f>AVERAGE(C34:C43)</f>
        <v>572584.25830999063</v>
      </c>
      <c r="M44" s="72">
        <f t="shared" si="2"/>
        <v>-106993.00793075823</v>
      </c>
      <c r="N44" s="20">
        <f t="shared" si="7"/>
        <v>-134623.19047044078</v>
      </c>
      <c r="O44" s="72">
        <f t="shared" si="11"/>
        <v>-139717.06348631374</v>
      </c>
      <c r="P44" s="20">
        <f t="shared" si="15"/>
        <v>-138476.283724409</v>
      </c>
      <c r="Q44" s="72">
        <f t="shared" si="19"/>
        <v>-166290.29840694863</v>
      </c>
      <c r="R44" s="72">
        <f t="shared" si="23"/>
        <v>-17329.114700132632</v>
      </c>
      <c r="S44" s="14"/>
      <c r="U44" s="162">
        <f t="shared" si="3"/>
        <v>-0.1813707110669657</v>
      </c>
      <c r="V44" s="160">
        <f t="shared" si="4"/>
        <v>-0.22820840589442032</v>
      </c>
      <c r="W44" s="162">
        <f t="shared" si="8"/>
        <v>-0.23684335680234886</v>
      </c>
      <c r="X44" s="160">
        <f t="shared" si="12"/>
        <v>-0.23474003143514544</v>
      </c>
      <c r="Y44" s="162">
        <f t="shared" si="16"/>
        <v>-0.2818893519203115</v>
      </c>
      <c r="Z44" s="160">
        <f t="shared" si="20"/>
        <v>-2.937569394588933E-2</v>
      </c>
      <c r="AG44" s="162">
        <f t="shared" si="0"/>
        <v>0.1813707110669657</v>
      </c>
      <c r="AH44" s="162">
        <f t="shared" si="5"/>
        <v>0.22820840589442032</v>
      </c>
      <c r="AI44" s="162">
        <f t="shared" si="9"/>
        <v>0.23684335680234886</v>
      </c>
      <c r="AJ44" s="162">
        <f t="shared" si="13"/>
        <v>0.23474003143514544</v>
      </c>
      <c r="AK44" s="162">
        <f t="shared" si="17"/>
        <v>0.2818893519203115</v>
      </c>
      <c r="AL44" s="162">
        <f t="shared" si="21"/>
        <v>2.937569394588933E-2</v>
      </c>
    </row>
    <row r="45" spans="1:38">
      <c r="A45" s="114">
        <f>WILD_CHUM_DATA!A51</f>
        <v>2011</v>
      </c>
      <c r="B45" s="72">
        <f>WILD_CHUM_DATA!O51</f>
        <v>101740</v>
      </c>
      <c r="C45" s="72">
        <f>WILD_CHUM_DATA!R51</f>
        <v>557527.96825396828</v>
      </c>
      <c r="E45" s="72">
        <f>C44</f>
        <v>589913.37301012326</v>
      </c>
      <c r="G45" s="72">
        <f>AVERAGE(C43:C44)</f>
        <v>536416.86904474418</v>
      </c>
      <c r="H45" s="72">
        <f>AVERAGE(C42:C44)</f>
        <v>500164.5793631628</v>
      </c>
      <c r="I45" s="72">
        <f>AVERAGE(C41:C44)</f>
        <v>485125.57539538795</v>
      </c>
      <c r="J45" s="72">
        <f>AVERAGE(C40:C44)</f>
        <v>479132.34603059606</v>
      </c>
      <c r="K45" s="72">
        <f>AVERAGE(C35:C44)</f>
        <v>545505.3612972775</v>
      </c>
      <c r="M45" s="72">
        <f t="shared" si="2"/>
        <v>32385.404756154981</v>
      </c>
      <c r="N45" s="20">
        <f t="shared" si="7"/>
        <v>-21111.099209224107</v>
      </c>
      <c r="O45" s="72">
        <f t="shared" si="11"/>
        <v>-57363.38889080548</v>
      </c>
      <c r="P45" s="20">
        <f t="shared" si="15"/>
        <v>-72402.392858580337</v>
      </c>
      <c r="Q45" s="72">
        <f t="shared" si="19"/>
        <v>-78395.622223372222</v>
      </c>
      <c r="R45" s="72">
        <f t="shared" si="23"/>
        <v>-12022.606956690783</v>
      </c>
      <c r="U45" s="162">
        <f t="shared" si="3"/>
        <v>5.8087498027368199E-2</v>
      </c>
      <c r="V45" s="160">
        <f t="shared" si="4"/>
        <v>-3.7865542916776976E-2</v>
      </c>
      <c r="W45" s="162">
        <f t="shared" si="8"/>
        <v>-0.10288880945372589</v>
      </c>
      <c r="X45" s="160">
        <f t="shared" si="12"/>
        <v>-0.12986324809018224</v>
      </c>
      <c r="Y45" s="162">
        <f t="shared" si="16"/>
        <v>-0.14061289601109483</v>
      </c>
      <c r="Z45" s="160">
        <f t="shared" si="20"/>
        <v>-2.1564132458399249E-2</v>
      </c>
      <c r="AG45" s="162">
        <f t="shared" si="0"/>
        <v>5.8087498027368199E-2</v>
      </c>
      <c r="AH45" s="162">
        <f t="shared" si="5"/>
        <v>3.7865542916776976E-2</v>
      </c>
      <c r="AI45" s="162">
        <f t="shared" si="9"/>
        <v>0.10288880945372589</v>
      </c>
      <c r="AJ45" s="162">
        <f t="shared" si="13"/>
        <v>0.12986324809018224</v>
      </c>
      <c r="AK45" s="162">
        <f t="shared" si="17"/>
        <v>0.14061289601109483</v>
      </c>
      <c r="AL45" s="162">
        <f t="shared" si="21"/>
        <v>2.1564132458399249E-2</v>
      </c>
    </row>
    <row r="46" spans="1:38">
      <c r="A46" s="114">
        <f>WILD_CHUM_DATA!A52</f>
        <v>2012</v>
      </c>
      <c r="B46" s="72">
        <f>WILD_CHUM_DATA!O52</f>
        <v>211798</v>
      </c>
      <c r="C46" s="72">
        <f>WILD_CHUM_DATA!R52</f>
        <v>391105.6984126984</v>
      </c>
      <c r="E46" s="72">
        <f>C45</f>
        <v>557527.96825396828</v>
      </c>
      <c r="G46" s="72">
        <f>AVERAGE(C44:C45)</f>
        <v>573720.67063204572</v>
      </c>
      <c r="H46" s="72">
        <f>AVERAGE(C43:C45)</f>
        <v>543453.90211448551</v>
      </c>
      <c r="I46" s="72">
        <f>AVERAGE(C42:C45)</f>
        <v>514505.42658586416</v>
      </c>
      <c r="J46" s="72">
        <f>AVERAGE(C41:C45)</f>
        <v>499606.053967104</v>
      </c>
      <c r="K46" s="72">
        <f>AVERAGE(C36:C45)</f>
        <v>510923.91428513936</v>
      </c>
      <c r="M46" s="72">
        <f t="shared" si="2"/>
        <v>166422.26984126988</v>
      </c>
      <c r="N46" s="20">
        <f t="shared" si="7"/>
        <v>182614.97221934731</v>
      </c>
      <c r="O46" s="72">
        <f t="shared" si="11"/>
        <v>152348.2037017871</v>
      </c>
      <c r="P46" s="20">
        <f t="shared" si="15"/>
        <v>123399.72817316576</v>
      </c>
      <c r="Q46" s="72">
        <f t="shared" si="19"/>
        <v>108500.3555544056</v>
      </c>
      <c r="R46" s="72">
        <f t="shared" si="23"/>
        <v>119818.21587244095</v>
      </c>
      <c r="U46" s="162">
        <f>($M46/$C46)</f>
        <v>0.42551737424612907</v>
      </c>
      <c r="V46" s="160">
        <f t="shared" si="4"/>
        <v>0.46691974307837952</v>
      </c>
      <c r="W46" s="162">
        <f t="shared" si="8"/>
        <v>0.38953204803737695</v>
      </c>
      <c r="X46" s="160">
        <f t="shared" si="12"/>
        <v>0.31551503512728984</v>
      </c>
      <c r="Y46" s="162">
        <f t="shared" si="16"/>
        <v>0.27741952110325685</v>
      </c>
      <c r="Z46" s="160">
        <f t="shared" si="20"/>
        <v>0.30635763262648158</v>
      </c>
      <c r="AG46" s="162">
        <f t="shared" si="0"/>
        <v>0.42551737424612907</v>
      </c>
      <c r="AH46" s="162">
        <f t="shared" si="5"/>
        <v>0.46691974307837952</v>
      </c>
      <c r="AI46" s="162">
        <f t="shared" si="9"/>
        <v>0.38953204803737695</v>
      </c>
      <c r="AJ46" s="162">
        <f t="shared" si="13"/>
        <v>0.31551503512728984</v>
      </c>
      <c r="AK46" s="162">
        <f t="shared" si="17"/>
        <v>0.27741952110325685</v>
      </c>
      <c r="AL46" s="162">
        <f t="shared" si="21"/>
        <v>0.30635763262648158</v>
      </c>
    </row>
    <row r="47" spans="1:38">
      <c r="A47" s="114">
        <f>WILD_CHUM_DATA!A53</f>
        <v>2013</v>
      </c>
      <c r="B47" s="72">
        <f>WILD_CHUM_DATA!O53</f>
        <v>236893.12821114546</v>
      </c>
      <c r="C47" s="72">
        <f>WILD_CHUM_DATA!R53</f>
        <v>484215.98535400262</v>
      </c>
      <c r="E47" s="72">
        <f>C46</f>
        <v>391105.6984126984</v>
      </c>
      <c r="G47" s="72">
        <f>AVERAGE(C45:C46)</f>
        <v>474316.83333333337</v>
      </c>
      <c r="H47" s="72">
        <f>AVERAGE(C44:C46)</f>
        <v>512849.01322559663</v>
      </c>
      <c r="I47" s="72">
        <f>AVERAGE(C43:C46)</f>
        <v>505366.85118903877</v>
      </c>
      <c r="J47" s="72">
        <f>AVERAGE(C42:C46)</f>
        <v>489825.48095123097</v>
      </c>
      <c r="K47" s="72">
        <f>AVERAGE(C37:C46)</f>
        <v>502744.37936450436</v>
      </c>
      <c r="M47" s="72">
        <f>(E47-C47)</f>
        <v>-93110.286941304221</v>
      </c>
      <c r="N47" s="20">
        <f>(G47-C47)</f>
        <v>-9899.1520206692512</v>
      </c>
      <c r="O47" s="72">
        <f>(H47-C47)</f>
        <v>28633.027871594008</v>
      </c>
      <c r="P47" s="20">
        <f>(I47-C47)</f>
        <v>21150.865835036151</v>
      </c>
      <c r="Q47" s="72">
        <f>(J47-C47)</f>
        <v>5609.4955972283497</v>
      </c>
      <c r="R47" s="72">
        <f>(K47-C47)</f>
        <v>18528.394010501739</v>
      </c>
      <c r="U47" s="162">
        <f>($M47/$C47)</f>
        <v>-0.19229081599450454</v>
      </c>
      <c r="V47" s="160">
        <f t="shared" si="4"/>
        <v>-2.0443670428253496E-2</v>
      </c>
      <c r="W47" s="162">
        <f t="shared" si="8"/>
        <v>5.9132760457424501E-2</v>
      </c>
      <c r="X47" s="160">
        <f t="shared" si="12"/>
        <v>4.368064350368997E-2</v>
      </c>
      <c r="Y47" s="162">
        <f t="shared" si="16"/>
        <v>1.1584697256798195E-2</v>
      </c>
      <c r="Z47" s="160">
        <f t="shared" si="20"/>
        <v>3.8264730143008234E-2</v>
      </c>
      <c r="AG47" s="162">
        <f t="shared" si="0"/>
        <v>0.19229081599450454</v>
      </c>
      <c r="AH47" s="162">
        <f t="shared" si="5"/>
        <v>2.0443670428253496E-2</v>
      </c>
      <c r="AI47" s="162">
        <f t="shared" si="9"/>
        <v>5.9132760457424501E-2</v>
      </c>
      <c r="AJ47" s="162">
        <f t="shared" si="13"/>
        <v>4.368064350368997E-2</v>
      </c>
      <c r="AK47" s="162">
        <f t="shared" si="17"/>
        <v>1.1584697256798195E-2</v>
      </c>
      <c r="AL47" s="162">
        <f t="shared" si="21"/>
        <v>3.8264730143008234E-2</v>
      </c>
    </row>
    <row r="48" spans="1:38">
      <c r="A48" s="12">
        <v>2014</v>
      </c>
      <c r="B48" s="72">
        <f>WILD_CHUM_DATA!O54</f>
        <v>227078</v>
      </c>
      <c r="C48" s="72">
        <f>WILD_CHUM_DATA!R54</f>
        <v>393748</v>
      </c>
      <c r="E48" s="72">
        <f>C47</f>
        <v>484215.98535400262</v>
      </c>
      <c r="G48" s="72">
        <f>AVERAGE(C46:C47)</f>
        <v>437660.84188335051</v>
      </c>
      <c r="H48" s="72">
        <f>AVERAGE(C45:C47)</f>
        <v>477616.55067355646</v>
      </c>
      <c r="I48" s="72">
        <f>AVERAGE(C44:C47)</f>
        <v>505690.75625769811</v>
      </c>
      <c r="J48" s="72">
        <f>AVERAGE(C43:C47)</f>
        <v>501136.67802203156</v>
      </c>
      <c r="K48" s="72">
        <f>AVERAGE(C38:C47)</f>
        <v>464446.85012212687</v>
      </c>
      <c r="M48" s="72">
        <f>(E48-C48)</f>
        <v>90467.985354002623</v>
      </c>
      <c r="N48" s="20">
        <f>(G48-C48)</f>
        <v>43912.841883350513</v>
      </c>
      <c r="O48" s="72">
        <f>(H48-C48)</f>
        <v>83868.550673556456</v>
      </c>
      <c r="P48" s="20">
        <f>(I48-C48)</f>
        <v>111942.75625769811</v>
      </c>
      <c r="Q48" s="72">
        <f>(J48-C48)</f>
        <v>107388.67802203156</v>
      </c>
      <c r="R48" s="72">
        <f>(K48-C48)</f>
        <v>70698.850122126867</v>
      </c>
      <c r="U48" s="162">
        <f>($M48/$C48)</f>
        <v>0.22976112984447572</v>
      </c>
      <c r="V48" s="160">
        <f t="shared" si="4"/>
        <v>0.11152524427641668</v>
      </c>
      <c r="W48" s="162">
        <f t="shared" si="8"/>
        <v>0.21300057568179764</v>
      </c>
      <c r="X48" s="160">
        <f t="shared" si="12"/>
        <v>0.28430050757768449</v>
      </c>
      <c r="Y48" s="162">
        <f t="shared" si="16"/>
        <v>0.27273453585042096</v>
      </c>
      <c r="Z48" s="160">
        <f t="shared" si="20"/>
        <v>0.17955354724881617</v>
      </c>
      <c r="AG48" s="162">
        <f t="shared" si="0"/>
        <v>0.22976112984447572</v>
      </c>
      <c r="AH48" s="162">
        <f t="shared" si="5"/>
        <v>0.11152524427641668</v>
      </c>
      <c r="AI48" s="162">
        <f t="shared" si="9"/>
        <v>0.21300057568179764</v>
      </c>
      <c r="AJ48" s="162">
        <f t="shared" si="13"/>
        <v>0.28430050757768449</v>
      </c>
      <c r="AK48" s="162">
        <f t="shared" si="17"/>
        <v>0.27273453585042096</v>
      </c>
      <c r="AL48" s="162">
        <f t="shared" si="21"/>
        <v>0.17955354724881617</v>
      </c>
    </row>
    <row r="49" spans="1:38">
      <c r="A49" s="12"/>
      <c r="B49" s="13"/>
      <c r="C49" s="13"/>
      <c r="E49" s="13"/>
      <c r="G49" s="13"/>
      <c r="H49" s="13"/>
      <c r="I49" s="13"/>
      <c r="J49" s="13"/>
      <c r="K49" s="13"/>
      <c r="M49" s="72"/>
      <c r="N49" s="20"/>
      <c r="O49" s="72"/>
      <c r="P49" s="20"/>
      <c r="Q49" s="72"/>
      <c r="R49" s="72"/>
      <c r="U49" s="158"/>
      <c r="V49" s="12"/>
      <c r="W49" s="114"/>
      <c r="X49" s="114"/>
      <c r="Y49" s="12"/>
      <c r="Z49" s="12"/>
    </row>
    <row r="50" spans="1:38">
      <c r="A50" s="12"/>
      <c r="B50" s="13"/>
      <c r="C50" s="13"/>
      <c r="E50" s="13"/>
      <c r="G50" s="13"/>
      <c r="H50" s="13"/>
      <c r="I50" s="13"/>
      <c r="J50" s="13"/>
      <c r="K50" s="13"/>
      <c r="M50" s="13"/>
      <c r="N50" s="20"/>
      <c r="O50" s="13"/>
      <c r="P50" s="20"/>
      <c r="Q50" s="13"/>
      <c r="R50" s="20"/>
      <c r="U50" s="158"/>
      <c r="V50" s="12"/>
      <c r="W50" s="114"/>
      <c r="X50" s="114"/>
      <c r="Y50" s="12"/>
      <c r="Z50" s="12"/>
    </row>
    <row r="51" spans="1:38">
      <c r="A51" s="12"/>
      <c r="E51" s="13"/>
      <c r="G51" s="13"/>
      <c r="H51" s="13"/>
      <c r="I51" s="13"/>
      <c r="J51" s="13"/>
      <c r="K51" s="13"/>
      <c r="M51" s="20"/>
      <c r="N51" s="13"/>
      <c r="O51" s="13"/>
      <c r="P51" s="13"/>
      <c r="Q51" s="13"/>
      <c r="R51" s="13"/>
      <c r="U51" s="21"/>
      <c r="V51" s="12"/>
      <c r="W51" s="12"/>
      <c r="X51" s="12"/>
      <c r="Y51" s="12"/>
      <c r="Z51" s="12"/>
    </row>
    <row r="52" spans="1:38" ht="13" thickBot="1"/>
    <row r="53" spans="1:38" ht="25">
      <c r="E53" s="224">
        <f>VLOOKUP(Fcst_YR,$A$4:$K$52,5)</f>
        <v>484215.98535400262</v>
      </c>
      <c r="F53" s="214"/>
      <c r="G53" s="225">
        <f>VLOOKUP(Fcst_YR,$A$4:$K$52,7)</f>
        <v>437660.84188335051</v>
      </c>
      <c r="H53" s="225">
        <f>VLOOKUP(Fcst_YR,$A$4:$K$52,8)</f>
        <v>477616.55067355646</v>
      </c>
      <c r="I53" s="225">
        <f>VLOOKUP(Fcst_YR,$A$4:$K$52,9)</f>
        <v>505690.75625769811</v>
      </c>
      <c r="J53" s="225">
        <f>VLOOKUP(Fcst_YR,$A$4:$K$52,10)</f>
        <v>501136.67802203156</v>
      </c>
      <c r="K53" s="226">
        <f>VLOOKUP(Fcst_YR,$A$4:$K$52,11)</f>
        <v>464446.85012212687</v>
      </c>
      <c r="L53" s="15" t="s">
        <v>42</v>
      </c>
      <c r="M53" s="121">
        <f t="shared" ref="M53:R53" si="24">AVERAGE(M5:M52)</f>
        <v>-2307.659090909091</v>
      </c>
      <c r="N53" s="121">
        <f t="shared" si="24"/>
        <v>4518.2443563487996</v>
      </c>
      <c r="O53" s="121">
        <f t="shared" si="24"/>
        <v>501.42326094676918</v>
      </c>
      <c r="P53" s="121">
        <f t="shared" si="24"/>
        <v>19030.595602796486</v>
      </c>
      <c r="Q53" s="121">
        <f t="shared" si="24"/>
        <v>9908.6332691391672</v>
      </c>
      <c r="R53" s="188">
        <f t="shared" si="24"/>
        <v>7493.5425535806789</v>
      </c>
      <c r="S53" s="25"/>
      <c r="T53" s="15" t="s">
        <v>42</v>
      </c>
      <c r="U53" s="161">
        <f t="shared" ref="U53:Z53" si="25">AVERAGE(U5:U52)</f>
        <v>0.16301332414707168</v>
      </c>
      <c r="V53" s="161">
        <f t="shared" si="25"/>
        <v>0.25335657681519691</v>
      </c>
      <c r="W53" s="161">
        <f t="shared" si="25"/>
        <v>0.27216196053779729</v>
      </c>
      <c r="X53" s="161">
        <f t="shared" si="25"/>
        <v>0.33570643371743575</v>
      </c>
      <c r="Y53" s="161">
        <f t="shared" si="25"/>
        <v>0.34342525197403084</v>
      </c>
      <c r="Z53" s="189">
        <f t="shared" si="25"/>
        <v>0.45475532649632083</v>
      </c>
      <c r="AF53" s="163" t="s">
        <v>117</v>
      </c>
      <c r="AG53" s="210">
        <f t="shared" ref="AG53:AL53" si="26">AVERAGE(AG5:AG52)</f>
        <v>0.4422300758838949</v>
      </c>
      <c r="AH53" s="210">
        <f t="shared" si="26"/>
        <v>0.52259589455297084</v>
      </c>
      <c r="AI53" s="210">
        <f t="shared" si="26"/>
        <v>0.54647690649975356</v>
      </c>
      <c r="AJ53" s="210">
        <f t="shared" si="26"/>
        <v>0.5890701963264855</v>
      </c>
      <c r="AK53" s="210">
        <f t="shared" si="26"/>
        <v>0.61282144468114641</v>
      </c>
      <c r="AL53" s="211">
        <f t="shared" si="26"/>
        <v>0.75437562911547473</v>
      </c>
    </row>
    <row r="54" spans="1:38">
      <c r="E54" s="16"/>
      <c r="F54" s="26"/>
      <c r="G54" s="26"/>
      <c r="H54" s="26"/>
      <c r="I54" s="26"/>
      <c r="J54" s="26"/>
      <c r="K54" s="51"/>
      <c r="L54" s="16" t="s">
        <v>51</v>
      </c>
      <c r="M54" s="227">
        <f t="shared" ref="M54:R54" si="27">STDEV(M5:M52)</f>
        <v>389353.93394458055</v>
      </c>
      <c r="N54" s="227">
        <f t="shared" si="27"/>
        <v>399144.76574122766</v>
      </c>
      <c r="O54" s="227">
        <f t="shared" si="27"/>
        <v>426685.61787961185</v>
      </c>
      <c r="P54" s="227">
        <f t="shared" si="27"/>
        <v>429256.33134721406</v>
      </c>
      <c r="Q54" s="227">
        <f t="shared" si="27"/>
        <v>449904.36351158808</v>
      </c>
      <c r="R54" s="228">
        <f t="shared" si="27"/>
        <v>580709.31211302325</v>
      </c>
      <c r="S54" s="22"/>
      <c r="T54" s="16" t="s">
        <v>44</v>
      </c>
      <c r="U54" s="165">
        <f t="shared" ref="U54:Z54" si="28">STDEV(U5:U52)</f>
        <v>0.75703678322974988</v>
      </c>
      <c r="V54" s="165">
        <f t="shared" si="28"/>
        <v>0.94834617204857197</v>
      </c>
      <c r="W54" s="165">
        <f t="shared" si="28"/>
        <v>0.9200134588086174</v>
      </c>
      <c r="X54" s="165">
        <f t="shared" si="28"/>
        <v>1.03304422563288</v>
      </c>
      <c r="Y54" s="165">
        <f t="shared" si="28"/>
        <v>1.093667702083974</v>
      </c>
      <c r="Z54" s="190">
        <f t="shared" si="28"/>
        <v>1.2213723324150927</v>
      </c>
      <c r="AF54" s="16" t="s">
        <v>44</v>
      </c>
      <c r="AG54" s="212">
        <f t="shared" ref="AG54:AL54" si="29">STDEV(AG5:AG52)</f>
        <v>0.63259821351024792</v>
      </c>
      <c r="AH54" s="212">
        <f t="shared" si="29"/>
        <v>0.82793075544592654</v>
      </c>
      <c r="AI54" s="212">
        <f t="shared" si="29"/>
        <v>0.78510043669818297</v>
      </c>
      <c r="AJ54" s="212">
        <f t="shared" si="29"/>
        <v>0.90940522507217347</v>
      </c>
      <c r="AK54" s="212">
        <f t="shared" si="29"/>
        <v>0.96534680742974888</v>
      </c>
      <c r="AL54" s="213">
        <f t="shared" si="29"/>
        <v>1.0577404653635933</v>
      </c>
    </row>
    <row r="55" spans="1:38" ht="37" thickBot="1">
      <c r="E55" s="17"/>
      <c r="F55" s="18"/>
      <c r="G55" s="18"/>
      <c r="H55" s="18"/>
      <c r="I55" s="18"/>
      <c r="J55" s="18"/>
      <c r="K55" s="19"/>
      <c r="L55" s="17" t="s">
        <v>43</v>
      </c>
      <c r="M55" s="23">
        <v>14</v>
      </c>
      <c r="N55" s="18">
        <v>3</v>
      </c>
      <c r="O55" s="18">
        <v>5</v>
      </c>
      <c r="P55" s="18">
        <v>2</v>
      </c>
      <c r="Q55" s="18">
        <v>2</v>
      </c>
      <c r="R55" s="19">
        <v>4</v>
      </c>
      <c r="S55" s="26"/>
      <c r="T55" s="17" t="s">
        <v>43</v>
      </c>
      <c r="U55" s="23">
        <v>13</v>
      </c>
      <c r="V55" s="18">
        <v>4</v>
      </c>
      <c r="W55" s="18">
        <v>5</v>
      </c>
      <c r="X55" s="18">
        <v>2</v>
      </c>
      <c r="Y55" s="18">
        <v>2</v>
      </c>
      <c r="Z55" s="19">
        <v>4</v>
      </c>
      <c r="AF55" s="221" t="s">
        <v>2</v>
      </c>
      <c r="AG55" s="229">
        <f t="shared" ref="AG55:AL55" si="30">COUNT(AG5:AG52)</f>
        <v>44</v>
      </c>
      <c r="AH55" s="229">
        <f t="shared" si="30"/>
        <v>43</v>
      </c>
      <c r="AI55" s="229">
        <f t="shared" si="30"/>
        <v>42</v>
      </c>
      <c r="AJ55" s="229">
        <f t="shared" si="30"/>
        <v>41</v>
      </c>
      <c r="AK55" s="229">
        <f t="shared" si="30"/>
        <v>40</v>
      </c>
      <c r="AL55" s="229">
        <f t="shared" si="30"/>
        <v>35</v>
      </c>
    </row>
    <row r="57" spans="1:38" ht="13" thickBot="1">
      <c r="N57" s="164"/>
    </row>
    <row r="58" spans="1:38">
      <c r="Q58" s="15"/>
      <c r="R58" s="43"/>
      <c r="S58" s="43"/>
      <c r="T58" s="43"/>
      <c r="U58" s="43"/>
      <c r="V58" s="43"/>
      <c r="W58" s="43"/>
      <c r="X58" s="43"/>
      <c r="Y58" s="43"/>
      <c r="Z58" s="43"/>
      <c r="AA58" s="44"/>
    </row>
    <row r="59" spans="1:38">
      <c r="Q59" s="16"/>
      <c r="R59" s="26"/>
      <c r="S59" s="26"/>
      <c r="T59" s="26"/>
      <c r="U59" s="26"/>
      <c r="V59" s="26"/>
      <c r="W59" s="26"/>
      <c r="X59" s="26"/>
      <c r="Y59" s="26"/>
      <c r="Z59" s="26"/>
      <c r="AA59" s="51"/>
    </row>
    <row r="60" spans="1:38">
      <c r="Q60" s="16"/>
      <c r="R60" s="26"/>
      <c r="S60" s="26"/>
      <c r="T60" s="26"/>
      <c r="U60" s="26"/>
      <c r="V60" s="26"/>
      <c r="W60" s="26"/>
      <c r="X60" s="26"/>
      <c r="Y60" s="26"/>
      <c r="Z60" s="26"/>
      <c r="AA60" s="51"/>
    </row>
    <row r="61" spans="1:38">
      <c r="Q61" s="16"/>
      <c r="R61" s="26"/>
      <c r="S61" s="26"/>
      <c r="T61" s="26"/>
      <c r="U61" s="26"/>
      <c r="V61" s="26"/>
      <c r="W61" s="26"/>
      <c r="X61" s="26"/>
      <c r="Y61" s="26"/>
      <c r="Z61" s="26"/>
      <c r="AA61" s="51"/>
    </row>
    <row r="62" spans="1:38" ht="24">
      <c r="Q62" s="16"/>
      <c r="R62" s="26"/>
      <c r="S62" s="193" t="s">
        <v>115</v>
      </c>
      <c r="T62" s="194" t="s">
        <v>112</v>
      </c>
      <c r="U62" s="230">
        <f>SMALL(U24:U48,1)</f>
        <v>-0.45467504143851534</v>
      </c>
      <c r="V62" s="26"/>
      <c r="W62" s="26"/>
      <c r="X62" s="26"/>
      <c r="Y62" s="26"/>
      <c r="Z62" s="26"/>
      <c r="AA62" s="51"/>
    </row>
    <row r="63" spans="1:38" ht="24">
      <c r="Q63" s="16"/>
      <c r="R63" s="26"/>
      <c r="S63" s="193" t="s">
        <v>115</v>
      </c>
      <c r="T63" s="194" t="s">
        <v>113</v>
      </c>
      <c r="U63" s="230">
        <f>LARGE(U24:U48,1)</f>
        <v>1.6108781907635856</v>
      </c>
      <c r="V63" s="26"/>
      <c r="W63" s="26"/>
      <c r="X63" s="26"/>
      <c r="Y63" s="26"/>
      <c r="Z63" s="26"/>
      <c r="AA63" s="51"/>
    </row>
    <row r="64" spans="1:38">
      <c r="Q64" s="16"/>
      <c r="R64" s="26"/>
      <c r="S64" s="26"/>
      <c r="T64" s="26"/>
      <c r="U64" s="26"/>
      <c r="V64" s="26"/>
      <c r="W64" s="26"/>
      <c r="X64" s="26"/>
      <c r="Y64" s="26"/>
      <c r="Z64" s="26"/>
      <c r="AA64" s="51"/>
    </row>
    <row r="65" spans="17:27">
      <c r="Q65" s="16"/>
      <c r="R65" s="26"/>
      <c r="S65" s="26"/>
      <c r="T65" s="26"/>
      <c r="U65" s="26"/>
      <c r="V65" s="26"/>
      <c r="W65" s="26"/>
      <c r="X65" s="26"/>
      <c r="Y65" s="26"/>
      <c r="Z65" s="26"/>
      <c r="AA65" s="51"/>
    </row>
    <row r="66" spans="17:27" ht="23">
      <c r="Q66" s="16"/>
      <c r="R66" s="26"/>
      <c r="S66" s="26"/>
      <c r="T66" s="26"/>
      <c r="U66" s="250">
        <f>U67/(U63+1)</f>
        <v>185460.96369681164</v>
      </c>
      <c r="V66" s="26"/>
      <c r="W66" s="26"/>
      <c r="X66" s="26"/>
      <c r="Y66" s="26"/>
      <c r="Z66" s="26"/>
      <c r="AA66" s="51"/>
    </row>
    <row r="67" spans="17:27" ht="23">
      <c r="Q67" s="16"/>
      <c r="R67" s="26"/>
      <c r="S67" s="247">
        <f>Fcst_YR</f>
        <v>2015</v>
      </c>
      <c r="T67" s="194" t="s">
        <v>114</v>
      </c>
      <c r="U67" s="250">
        <f>E53</f>
        <v>484215.98535400262</v>
      </c>
      <c r="V67" s="26"/>
      <c r="W67" s="26"/>
      <c r="X67" s="26"/>
      <c r="Y67" s="26"/>
      <c r="Z67" s="26"/>
      <c r="AA67" s="51"/>
    </row>
    <row r="68" spans="17:27" ht="23">
      <c r="Q68" s="16"/>
      <c r="R68" s="26"/>
      <c r="S68" s="26"/>
      <c r="T68" s="26"/>
      <c r="U68" s="250">
        <f>U67/(U62+1)</f>
        <v>887940.25975139358</v>
      </c>
      <c r="V68" s="26"/>
      <c r="W68" s="26"/>
      <c r="X68" s="26"/>
      <c r="Y68" s="26"/>
      <c r="Z68" s="26"/>
      <c r="AA68" s="51"/>
    </row>
    <row r="69" spans="17:27">
      <c r="Q69" s="16"/>
      <c r="R69" s="26"/>
      <c r="S69" s="26"/>
      <c r="T69" s="26"/>
      <c r="U69" s="26"/>
      <c r="V69" s="26"/>
      <c r="W69" s="26"/>
      <c r="X69" s="26"/>
      <c r="Y69" s="26"/>
      <c r="Z69" s="26"/>
      <c r="AA69" s="51"/>
    </row>
    <row r="70" spans="17:27">
      <c r="Q70" s="16"/>
      <c r="R70" s="26"/>
      <c r="S70" s="26"/>
      <c r="T70" s="26"/>
      <c r="U70" s="26"/>
      <c r="V70" s="26"/>
      <c r="W70" s="26"/>
      <c r="X70" s="26"/>
      <c r="Y70" s="26"/>
      <c r="Z70" s="26"/>
      <c r="AA70" s="51"/>
    </row>
    <row r="71" spans="17:27">
      <c r="Q71" s="16"/>
      <c r="R71" s="26"/>
      <c r="S71" s="26"/>
      <c r="T71" s="26"/>
      <c r="U71" s="26"/>
      <c r="V71" s="26"/>
      <c r="W71" s="26"/>
      <c r="X71" s="26"/>
      <c r="Y71" s="26"/>
      <c r="Z71" s="26"/>
      <c r="AA71" s="51"/>
    </row>
    <row r="72" spans="17:27">
      <c r="Q72" s="16"/>
      <c r="R72" s="26"/>
      <c r="S72" s="26"/>
      <c r="T72" s="26"/>
      <c r="U72" s="26"/>
      <c r="V72" s="26"/>
      <c r="W72" s="26"/>
      <c r="X72" s="26"/>
      <c r="Y72" s="26"/>
      <c r="Z72" s="26"/>
      <c r="AA72" s="51"/>
    </row>
    <row r="73" spans="17:27">
      <c r="Q73" s="16"/>
      <c r="R73" s="26"/>
      <c r="S73" s="26"/>
      <c r="T73" s="26"/>
      <c r="U73" s="26"/>
      <c r="V73" s="26"/>
      <c r="W73" s="26"/>
      <c r="X73" s="26"/>
      <c r="Y73" s="26"/>
      <c r="Z73" s="26"/>
      <c r="AA73" s="51"/>
    </row>
    <row r="74" spans="17:27">
      <c r="Q74" s="16"/>
      <c r="R74" s="26"/>
      <c r="S74" s="26"/>
      <c r="T74" s="26"/>
      <c r="U74" s="26"/>
      <c r="V74" s="26"/>
      <c r="W74" s="26"/>
      <c r="X74" s="26"/>
      <c r="Y74" s="26"/>
      <c r="Z74" s="26"/>
      <c r="AA74" s="51"/>
    </row>
    <row r="75" spans="17:27">
      <c r="Q75" s="16"/>
      <c r="R75" s="26"/>
      <c r="S75" s="26"/>
      <c r="T75" s="26"/>
      <c r="U75" s="26"/>
      <c r="V75" s="26"/>
      <c r="W75" s="26"/>
      <c r="X75" s="26"/>
      <c r="Y75" s="26"/>
      <c r="Z75" s="26"/>
      <c r="AA75" s="51"/>
    </row>
    <row r="76" spans="17:27">
      <c r="Q76" s="16"/>
      <c r="R76" s="26"/>
      <c r="S76" s="26"/>
      <c r="T76" s="26"/>
      <c r="U76" s="26"/>
      <c r="V76" s="26"/>
      <c r="W76" s="26"/>
      <c r="X76" s="26"/>
      <c r="Y76" s="26"/>
      <c r="Z76" s="26"/>
      <c r="AA76" s="51"/>
    </row>
    <row r="77" spans="17:27">
      <c r="Q77" s="16"/>
      <c r="R77" s="26"/>
      <c r="S77" s="26"/>
      <c r="T77" s="26"/>
      <c r="U77" s="26"/>
      <c r="V77" s="26"/>
      <c r="W77" s="26"/>
      <c r="X77" s="26"/>
      <c r="Y77" s="26"/>
      <c r="Z77" s="26"/>
      <c r="AA77" s="51"/>
    </row>
    <row r="78" spans="17:27">
      <c r="Q78" s="16"/>
      <c r="R78" s="26"/>
      <c r="S78" s="26"/>
      <c r="T78" s="26"/>
      <c r="U78" s="26"/>
      <c r="V78" s="26"/>
      <c r="W78" s="26"/>
      <c r="X78" s="26"/>
      <c r="Y78" s="26"/>
      <c r="Z78" s="26"/>
      <c r="AA78" s="51"/>
    </row>
    <row r="79" spans="17:27">
      <c r="Q79" s="16"/>
      <c r="R79" s="26"/>
      <c r="S79" s="26"/>
      <c r="T79" s="26"/>
      <c r="U79" s="26"/>
      <c r="V79" s="26"/>
      <c r="W79" s="26"/>
      <c r="X79" s="26"/>
      <c r="Y79" s="26"/>
      <c r="Z79" s="26"/>
      <c r="AA79" s="51"/>
    </row>
    <row r="80" spans="17:27" ht="13" thickBot="1">
      <c r="Q80" s="17"/>
      <c r="R80" s="18"/>
      <c r="S80" s="18"/>
      <c r="T80" s="18"/>
      <c r="U80" s="18"/>
      <c r="V80" s="18"/>
      <c r="W80" s="18"/>
      <c r="X80" s="18"/>
      <c r="Y80" s="18"/>
      <c r="Z80" s="18"/>
      <c r="AA80" s="19"/>
    </row>
  </sheetData>
  <phoneticPr fontId="14" type="noConversion"/>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3:AD56"/>
  <sheetViews>
    <sheetView workbookViewId="0">
      <pane xSplit="1" ySplit="4" topLeftCell="B35" activePane="bottomRight" state="frozen"/>
      <selection pane="topRight" activeCell="B1" sqref="B1"/>
      <selection pane="bottomLeft" activeCell="A5" sqref="A5"/>
      <selection pane="bottomRight" activeCell="B5" sqref="B5"/>
    </sheetView>
  </sheetViews>
  <sheetFormatPr baseColWidth="10" defaultColWidth="8.83203125" defaultRowHeight="12" x14ac:dyDescent="0"/>
  <cols>
    <col min="2" max="2" width="11.5" customWidth="1"/>
    <col min="9" max="9" width="4.33203125" customWidth="1"/>
    <col min="15" max="15" width="10.83203125" customWidth="1"/>
    <col min="16" max="16" width="5.1640625" customWidth="1"/>
    <col min="23" max="23" width="20.6640625" customWidth="1"/>
  </cols>
  <sheetData>
    <row r="3" spans="1:30" ht="19" thickBot="1">
      <c r="A3" s="167"/>
      <c r="B3" s="167"/>
      <c r="C3" s="172"/>
      <c r="D3" s="171"/>
      <c r="E3" s="173" t="s">
        <v>75</v>
      </c>
      <c r="F3" s="169"/>
      <c r="G3" s="169"/>
      <c r="H3" s="169"/>
      <c r="I3" s="169"/>
      <c r="J3" s="258" t="s">
        <v>41</v>
      </c>
      <c r="K3" s="258"/>
      <c r="L3" s="258"/>
      <c r="M3" s="258"/>
      <c r="N3" s="258"/>
      <c r="O3" s="258"/>
      <c r="P3" s="169"/>
      <c r="Q3" s="258" t="s">
        <v>118</v>
      </c>
      <c r="R3" s="258"/>
      <c r="S3" s="258"/>
      <c r="T3" s="258"/>
      <c r="U3" s="258"/>
      <c r="V3" s="258"/>
      <c r="W3" s="167"/>
      <c r="X3" s="170" t="s">
        <v>116</v>
      </c>
      <c r="Y3" s="170"/>
      <c r="Z3" s="168"/>
      <c r="AA3" s="168"/>
      <c r="AB3" s="168"/>
      <c r="AC3" s="168"/>
      <c r="AD3" s="167"/>
    </row>
    <row r="4" spans="1:30" s="209" customFormat="1" ht="25" thickTop="1">
      <c r="A4" s="205" t="s">
        <v>72</v>
      </c>
      <c r="B4" s="205" t="s">
        <v>126</v>
      </c>
      <c r="C4" s="206" t="s">
        <v>35</v>
      </c>
      <c r="D4" s="206" t="s">
        <v>36</v>
      </c>
      <c r="E4" s="206" t="s">
        <v>37</v>
      </c>
      <c r="F4" s="206" t="s">
        <v>38</v>
      </c>
      <c r="G4" s="206" t="s">
        <v>39</v>
      </c>
      <c r="H4" s="206" t="s">
        <v>40</v>
      </c>
      <c r="I4" s="206"/>
      <c r="J4" s="206" t="s">
        <v>35</v>
      </c>
      <c r="K4" s="206" t="s">
        <v>36</v>
      </c>
      <c r="L4" s="206" t="s">
        <v>37</v>
      </c>
      <c r="M4" s="206" t="s">
        <v>38</v>
      </c>
      <c r="N4" s="206" t="s">
        <v>39</v>
      </c>
      <c r="O4" s="206" t="s">
        <v>40</v>
      </c>
      <c r="P4" s="206"/>
      <c r="Q4" s="206" t="s">
        <v>35</v>
      </c>
      <c r="R4" s="206" t="s">
        <v>36</v>
      </c>
      <c r="S4" s="206" t="s">
        <v>37</v>
      </c>
      <c r="T4" s="206" t="s">
        <v>38</v>
      </c>
      <c r="U4" s="206" t="s">
        <v>39</v>
      </c>
      <c r="V4" s="206" t="s">
        <v>40</v>
      </c>
      <c r="W4" s="207" t="s">
        <v>4</v>
      </c>
      <c r="X4" s="206" t="s">
        <v>35</v>
      </c>
      <c r="Y4" s="206" t="s">
        <v>36</v>
      </c>
      <c r="Z4" s="206" t="s">
        <v>37</v>
      </c>
      <c r="AA4" s="206" t="s">
        <v>38</v>
      </c>
      <c r="AB4" s="206" t="s">
        <v>39</v>
      </c>
      <c r="AC4" s="206" t="s">
        <v>40</v>
      </c>
      <c r="AD4" s="208"/>
    </row>
    <row r="5" spans="1:30">
      <c r="A5" s="175">
        <f>WILD_CHUM_DATA!A10</f>
        <v>1970</v>
      </c>
      <c r="B5" s="176">
        <f>WILD_CHUM_DATA!O10</f>
        <v>230661</v>
      </c>
      <c r="W5" s="175">
        <f>A5</f>
        <v>1970</v>
      </c>
    </row>
    <row r="6" spans="1:30">
      <c r="A6" s="175">
        <f>WILD_CHUM_DATA!A11</f>
        <v>1971</v>
      </c>
      <c r="B6" s="176">
        <f>WILD_CHUM_DATA!O11</f>
        <v>574265</v>
      </c>
      <c r="C6" s="176">
        <f>B5</f>
        <v>230661</v>
      </c>
      <c r="J6" s="176">
        <f>$B6-C6</f>
        <v>343604</v>
      </c>
      <c r="Q6" s="177">
        <f>($B6-C6)/$B6</f>
        <v>0.59833700469295537</v>
      </c>
      <c r="W6" s="175">
        <f t="shared" ref="W6:W46" si="0">A6</f>
        <v>1971</v>
      </c>
      <c r="X6" s="178">
        <f>ABS(Q6)</f>
        <v>0.59833700469295537</v>
      </c>
    </row>
    <row r="7" spans="1:30">
      <c r="A7" s="175">
        <f>WILD_CHUM_DATA!A12</f>
        <v>1972</v>
      </c>
      <c r="B7" s="176">
        <f>WILD_CHUM_DATA!O12</f>
        <v>45370</v>
      </c>
      <c r="C7" s="176">
        <f t="shared" ref="C7:C47" si="1">B6</f>
        <v>574265</v>
      </c>
      <c r="D7" s="176">
        <f>AVERAGE(B5:B6)</f>
        <v>402463</v>
      </c>
      <c r="J7" s="176">
        <f t="shared" ref="J7:O46" si="2">$B7-C7</f>
        <v>-528895</v>
      </c>
      <c r="K7" s="176">
        <f t="shared" si="2"/>
        <v>-357093</v>
      </c>
      <c r="Q7" s="177">
        <f t="shared" ref="Q7:V46" si="3">($B7-C7)/$B7</f>
        <v>-11.657372713246639</v>
      </c>
      <c r="R7" s="177">
        <f t="shared" si="3"/>
        <v>-7.8706854749834694</v>
      </c>
      <c r="W7" s="175">
        <f t="shared" si="0"/>
        <v>1972</v>
      </c>
      <c r="X7" s="178">
        <f t="shared" ref="X7:Y46" si="4">ABS(Q7)</f>
        <v>11.657372713246639</v>
      </c>
      <c r="Y7" s="178">
        <f t="shared" si="4"/>
        <v>7.8706854749834694</v>
      </c>
    </row>
    <row r="8" spans="1:30">
      <c r="A8" s="175">
        <f>WILD_CHUM_DATA!A13</f>
        <v>1973</v>
      </c>
      <c r="B8" s="176">
        <f>WILD_CHUM_DATA!O13</f>
        <v>729839</v>
      </c>
      <c r="C8" s="176">
        <f t="shared" si="1"/>
        <v>45370</v>
      </c>
      <c r="D8" s="176">
        <f t="shared" ref="D8:D46" si="5">AVERAGE(B6:B7)</f>
        <v>309817.5</v>
      </c>
      <c r="E8" s="176">
        <f>AVERAGE(B5:B7)</f>
        <v>283432</v>
      </c>
      <c r="J8" s="176">
        <f t="shared" si="2"/>
        <v>684469</v>
      </c>
      <c r="K8" s="176">
        <f t="shared" si="2"/>
        <v>420021.5</v>
      </c>
      <c r="L8" s="176">
        <f t="shared" si="2"/>
        <v>446407</v>
      </c>
      <c r="Q8" s="177">
        <f t="shared" si="3"/>
        <v>0.9378356048388754</v>
      </c>
      <c r="R8" s="177">
        <f t="shared" si="3"/>
        <v>0.57549884289548792</v>
      </c>
      <c r="S8" s="177">
        <f t="shared" si="3"/>
        <v>0.61165133680167816</v>
      </c>
      <c r="W8" s="175">
        <f t="shared" si="0"/>
        <v>1973</v>
      </c>
      <c r="X8" s="178">
        <f t="shared" si="4"/>
        <v>0.9378356048388754</v>
      </c>
      <c r="Y8" s="178">
        <f t="shared" ref="Y8:Z10" si="6">ABS(R8)</f>
        <v>0.57549884289548792</v>
      </c>
      <c r="Z8" s="178">
        <f t="shared" si="6"/>
        <v>0.61165133680167816</v>
      </c>
    </row>
    <row r="9" spans="1:30">
      <c r="A9" s="175">
        <f>WILD_CHUM_DATA!A14</f>
        <v>1974</v>
      </c>
      <c r="B9" s="176">
        <f>WILD_CHUM_DATA!O14</f>
        <v>88544</v>
      </c>
      <c r="C9" s="176">
        <f t="shared" si="1"/>
        <v>729839</v>
      </c>
      <c r="D9" s="176">
        <f t="shared" si="5"/>
        <v>387604.5</v>
      </c>
      <c r="E9" s="176">
        <f t="shared" ref="E9:E46" si="7">AVERAGE(B6:B8)</f>
        <v>449824.66666666669</v>
      </c>
      <c r="F9" s="176">
        <f>AVERAGE(B5:B8)</f>
        <v>395033.75</v>
      </c>
      <c r="J9" s="176">
        <f t="shared" si="2"/>
        <v>-641295</v>
      </c>
      <c r="K9" s="176">
        <f t="shared" si="2"/>
        <v>-299060.5</v>
      </c>
      <c r="L9" s="176">
        <f t="shared" si="2"/>
        <v>-361280.66666666669</v>
      </c>
      <c r="M9" s="176">
        <f t="shared" si="2"/>
        <v>-306489.75</v>
      </c>
      <c r="Q9" s="177">
        <f t="shared" si="3"/>
        <v>-7.2426703108059272</v>
      </c>
      <c r="R9" s="177">
        <f t="shared" si="3"/>
        <v>-3.3775354625948681</v>
      </c>
      <c r="S9" s="177">
        <f t="shared" si="3"/>
        <v>-4.0802388266473919</v>
      </c>
      <c r="T9" s="177">
        <f t="shared" si="3"/>
        <v>-3.4614400749909651</v>
      </c>
      <c r="W9" s="175">
        <f t="shared" si="0"/>
        <v>1974</v>
      </c>
      <c r="X9" s="178">
        <f t="shared" si="4"/>
        <v>7.2426703108059272</v>
      </c>
      <c r="Y9" s="178">
        <f t="shared" si="6"/>
        <v>3.3775354625948681</v>
      </c>
      <c r="Z9" s="178">
        <f t="shared" si="6"/>
        <v>4.0802388266473919</v>
      </c>
      <c r="AA9" s="178">
        <f>ABS(T9)</f>
        <v>3.4614400749909651</v>
      </c>
    </row>
    <row r="10" spans="1:30">
      <c r="A10" s="175">
        <f>WILD_CHUM_DATA!A15</f>
        <v>1975</v>
      </c>
      <c r="B10" s="176">
        <f>WILD_CHUM_DATA!O15</f>
        <v>100479</v>
      </c>
      <c r="C10" s="176">
        <f t="shared" si="1"/>
        <v>88544</v>
      </c>
      <c r="D10" s="176">
        <f t="shared" si="5"/>
        <v>409191.5</v>
      </c>
      <c r="E10" s="176">
        <f t="shared" si="7"/>
        <v>287917.66666666669</v>
      </c>
      <c r="F10" s="176">
        <f t="shared" ref="F10:F46" si="8">AVERAGE(B6:B9)</f>
        <v>359504.5</v>
      </c>
      <c r="G10" s="176">
        <f>AVERAGE(B5:B9)</f>
        <v>333735.8</v>
      </c>
      <c r="J10" s="176">
        <f t="shared" si="2"/>
        <v>11935</v>
      </c>
      <c r="K10" s="176">
        <f t="shared" si="2"/>
        <v>-308712.5</v>
      </c>
      <c r="L10" s="176">
        <f t="shared" si="2"/>
        <v>-187438.66666666669</v>
      </c>
      <c r="M10" s="176">
        <f t="shared" si="2"/>
        <v>-259025.5</v>
      </c>
      <c r="N10" s="176">
        <f t="shared" si="2"/>
        <v>-233256.8</v>
      </c>
      <c r="Q10" s="177">
        <f t="shared" si="3"/>
        <v>0.11878103882403289</v>
      </c>
      <c r="R10" s="177">
        <f t="shared" si="3"/>
        <v>-3.072408164890176</v>
      </c>
      <c r="S10" s="177">
        <f t="shared" si="3"/>
        <v>-1.8654511556311935</v>
      </c>
      <c r="T10" s="177">
        <f t="shared" si="3"/>
        <v>-2.5779068263020135</v>
      </c>
      <c r="U10" s="177">
        <f t="shared" si="3"/>
        <v>-2.3214482628210868</v>
      </c>
      <c r="W10" s="175">
        <f t="shared" si="0"/>
        <v>1975</v>
      </c>
      <c r="X10" s="178">
        <f t="shared" si="4"/>
        <v>0.11878103882403289</v>
      </c>
      <c r="Y10" s="178">
        <f t="shared" si="6"/>
        <v>3.072408164890176</v>
      </c>
      <c r="Z10" s="178">
        <f t="shared" si="6"/>
        <v>1.8654511556311935</v>
      </c>
      <c r="AA10" s="178">
        <f>ABS(T10)</f>
        <v>2.5779068263020135</v>
      </c>
      <c r="AB10" s="178">
        <f t="shared" ref="AB10:AC46" si="9">ABS(U10)</f>
        <v>2.3214482628210868</v>
      </c>
    </row>
    <row r="11" spans="1:30">
      <c r="A11" s="175">
        <f>WILD_CHUM_DATA!A16</f>
        <v>1976</v>
      </c>
      <c r="B11" s="176">
        <f>WILD_CHUM_DATA!O16</f>
        <v>370478</v>
      </c>
      <c r="C11" s="176">
        <f t="shared" si="1"/>
        <v>100479</v>
      </c>
      <c r="D11" s="176">
        <f t="shared" si="5"/>
        <v>94511.5</v>
      </c>
      <c r="E11" s="176">
        <f t="shared" si="7"/>
        <v>306287.33333333331</v>
      </c>
      <c r="F11" s="176">
        <f t="shared" si="8"/>
        <v>241058</v>
      </c>
      <c r="G11" s="176">
        <f t="shared" ref="G11:G46" si="10">AVERAGE(B6:B10)</f>
        <v>307699.40000000002</v>
      </c>
      <c r="J11" s="176">
        <f t="shared" si="2"/>
        <v>269999</v>
      </c>
      <c r="K11" s="176">
        <f t="shared" si="2"/>
        <v>275966.5</v>
      </c>
      <c r="L11" s="176">
        <f t="shared" si="2"/>
        <v>64190.666666666686</v>
      </c>
      <c r="M11" s="176">
        <f t="shared" si="2"/>
        <v>129420</v>
      </c>
      <c r="N11" s="176">
        <f t="shared" si="2"/>
        <v>62778.599999999977</v>
      </c>
      <c r="Q11" s="177">
        <f t="shared" si="3"/>
        <v>0.7287855149293615</v>
      </c>
      <c r="R11" s="177">
        <f t="shared" si="3"/>
        <v>0.74489308406976928</v>
      </c>
      <c r="S11" s="177">
        <f t="shared" si="3"/>
        <v>0.17326444935101865</v>
      </c>
      <c r="T11" s="177">
        <f t="shared" si="3"/>
        <v>0.34933248398015537</v>
      </c>
      <c r="U11" s="177">
        <f t="shared" si="3"/>
        <v>0.16945297696489395</v>
      </c>
      <c r="W11" s="175">
        <f t="shared" si="0"/>
        <v>1976</v>
      </c>
      <c r="X11" s="178">
        <f t="shared" si="4"/>
        <v>0.7287855149293615</v>
      </c>
      <c r="Y11" s="178">
        <f t="shared" ref="Y11:Y46" si="11">ABS(R11)</f>
        <v>0.74489308406976928</v>
      </c>
      <c r="Z11" s="178">
        <f t="shared" ref="Z11:Z46" si="12">ABS(S11)</f>
        <v>0.17326444935101865</v>
      </c>
      <c r="AA11" s="178">
        <f t="shared" ref="AA11:AA46" si="13">ABS(T11)</f>
        <v>0.34933248398015537</v>
      </c>
      <c r="AB11" s="178">
        <f t="shared" si="9"/>
        <v>0.16945297696489395</v>
      </c>
    </row>
    <row r="12" spans="1:30">
      <c r="A12" s="175">
        <f>WILD_CHUM_DATA!A17</f>
        <v>1977</v>
      </c>
      <c r="B12" s="176">
        <f>WILD_CHUM_DATA!O17</f>
        <v>575839</v>
      </c>
      <c r="C12" s="176">
        <f t="shared" si="1"/>
        <v>370478</v>
      </c>
      <c r="D12" s="176">
        <f t="shared" si="5"/>
        <v>235478.5</v>
      </c>
      <c r="E12" s="176">
        <f t="shared" si="7"/>
        <v>186500.33333333334</v>
      </c>
      <c r="F12" s="176">
        <f t="shared" si="8"/>
        <v>322335</v>
      </c>
      <c r="G12" s="176">
        <f t="shared" si="10"/>
        <v>266942</v>
      </c>
      <c r="J12" s="176">
        <f t="shared" si="2"/>
        <v>205361</v>
      </c>
      <c r="K12" s="176">
        <f t="shared" si="2"/>
        <v>340360.5</v>
      </c>
      <c r="L12" s="176">
        <f t="shared" si="2"/>
        <v>389338.66666666663</v>
      </c>
      <c r="M12" s="176">
        <f t="shared" si="2"/>
        <v>253504</v>
      </c>
      <c r="N12" s="176">
        <f t="shared" si="2"/>
        <v>308897</v>
      </c>
      <c r="Q12" s="177">
        <f t="shared" si="3"/>
        <v>0.35662919670255055</v>
      </c>
      <c r="R12" s="177">
        <f t="shared" si="3"/>
        <v>0.59106885778837492</v>
      </c>
      <c r="S12" s="177">
        <f t="shared" si="3"/>
        <v>0.67612417128167179</v>
      </c>
      <c r="T12" s="177">
        <f t="shared" si="3"/>
        <v>0.44023416267394183</v>
      </c>
      <c r="U12" s="177">
        <f t="shared" si="3"/>
        <v>0.53642945337151526</v>
      </c>
      <c r="W12" s="175">
        <f t="shared" si="0"/>
        <v>1977</v>
      </c>
      <c r="X12" s="178">
        <f t="shared" si="4"/>
        <v>0.35662919670255055</v>
      </c>
      <c r="Y12" s="178">
        <f t="shared" si="11"/>
        <v>0.59106885778837492</v>
      </c>
      <c r="Z12" s="178">
        <f t="shared" si="12"/>
        <v>0.67612417128167179</v>
      </c>
      <c r="AA12" s="178">
        <f t="shared" si="13"/>
        <v>0.44023416267394183</v>
      </c>
      <c r="AB12" s="178">
        <f t="shared" si="9"/>
        <v>0.53642945337151526</v>
      </c>
    </row>
    <row r="13" spans="1:30">
      <c r="A13" s="175">
        <f>WILD_CHUM_DATA!A18</f>
        <v>1978</v>
      </c>
      <c r="B13" s="176">
        <f>WILD_CHUM_DATA!O18</f>
        <v>485147</v>
      </c>
      <c r="C13" s="176">
        <f t="shared" si="1"/>
        <v>575839</v>
      </c>
      <c r="D13" s="176">
        <f t="shared" si="5"/>
        <v>473158.5</v>
      </c>
      <c r="E13" s="176">
        <f t="shared" si="7"/>
        <v>348932</v>
      </c>
      <c r="F13" s="176">
        <f t="shared" si="8"/>
        <v>283835</v>
      </c>
      <c r="G13" s="176">
        <f t="shared" si="10"/>
        <v>373035.8</v>
      </c>
      <c r="J13" s="176">
        <f t="shared" si="2"/>
        <v>-90692</v>
      </c>
      <c r="K13" s="176">
        <f t="shared" si="2"/>
        <v>11988.5</v>
      </c>
      <c r="L13" s="176">
        <f t="shared" si="2"/>
        <v>136215</v>
      </c>
      <c r="M13" s="176">
        <f t="shared" si="2"/>
        <v>201312</v>
      </c>
      <c r="N13" s="176">
        <f t="shared" si="2"/>
        <v>112111.20000000001</v>
      </c>
      <c r="Q13" s="177">
        <f t="shared" si="3"/>
        <v>-0.18693715513030071</v>
      </c>
      <c r="R13" s="177">
        <f t="shared" si="3"/>
        <v>2.4711066954964167E-2</v>
      </c>
      <c r="S13" s="177">
        <f t="shared" si="3"/>
        <v>0.28077057056933258</v>
      </c>
      <c r="T13" s="177">
        <f t="shared" si="3"/>
        <v>0.41495052015162415</v>
      </c>
      <c r="U13" s="177">
        <f t="shared" si="3"/>
        <v>0.23108707257800215</v>
      </c>
      <c r="W13" s="175">
        <f t="shared" si="0"/>
        <v>1978</v>
      </c>
      <c r="X13" s="178">
        <f t="shared" si="4"/>
        <v>0.18693715513030071</v>
      </c>
      <c r="Y13" s="178">
        <f t="shared" si="11"/>
        <v>2.4711066954964167E-2</v>
      </c>
      <c r="Z13" s="178">
        <f t="shared" si="12"/>
        <v>0.28077057056933258</v>
      </c>
      <c r="AA13" s="178">
        <f t="shared" si="13"/>
        <v>0.41495052015162415</v>
      </c>
      <c r="AB13" s="178">
        <f t="shared" si="9"/>
        <v>0.23108707257800215</v>
      </c>
    </row>
    <row r="14" spans="1:30">
      <c r="A14" s="175">
        <f>WILD_CHUM_DATA!A19</f>
        <v>1979</v>
      </c>
      <c r="B14" s="176">
        <f>WILD_CHUM_DATA!O19</f>
        <v>324040</v>
      </c>
      <c r="C14" s="176">
        <f t="shared" si="1"/>
        <v>485147</v>
      </c>
      <c r="D14" s="176">
        <f t="shared" si="5"/>
        <v>530493</v>
      </c>
      <c r="E14" s="176">
        <f t="shared" si="7"/>
        <v>477154.66666666669</v>
      </c>
      <c r="F14" s="176">
        <f t="shared" si="8"/>
        <v>382985.75</v>
      </c>
      <c r="G14" s="176">
        <f t="shared" si="10"/>
        <v>324097.40000000002</v>
      </c>
      <c r="J14" s="176">
        <f t="shared" si="2"/>
        <v>-161107</v>
      </c>
      <c r="K14" s="176">
        <f t="shared" si="2"/>
        <v>-206453</v>
      </c>
      <c r="L14" s="176">
        <f t="shared" si="2"/>
        <v>-153114.66666666669</v>
      </c>
      <c r="M14" s="176">
        <f t="shared" si="2"/>
        <v>-58945.75</v>
      </c>
      <c r="N14" s="176">
        <f t="shared" si="2"/>
        <v>-57.400000000023283</v>
      </c>
      <c r="Q14" s="177">
        <f t="shared" si="3"/>
        <v>-0.49718244661152944</v>
      </c>
      <c r="R14" s="177">
        <f t="shared" si="3"/>
        <v>-0.63712196025182077</v>
      </c>
      <c r="S14" s="177">
        <f t="shared" si="3"/>
        <v>-0.47251779615685313</v>
      </c>
      <c r="T14" s="177">
        <f t="shared" si="3"/>
        <v>-0.18190886927539809</v>
      </c>
      <c r="U14" s="177">
        <f t="shared" si="3"/>
        <v>-1.7713862486120011E-4</v>
      </c>
      <c r="W14" s="175">
        <f t="shared" si="0"/>
        <v>1979</v>
      </c>
      <c r="X14" s="178">
        <f t="shared" si="4"/>
        <v>0.49718244661152944</v>
      </c>
      <c r="Y14" s="178">
        <f t="shared" si="11"/>
        <v>0.63712196025182077</v>
      </c>
      <c r="Z14" s="178">
        <f t="shared" si="12"/>
        <v>0.47251779615685313</v>
      </c>
      <c r="AA14" s="178">
        <f t="shared" si="13"/>
        <v>0.18190886927539809</v>
      </c>
      <c r="AB14" s="178">
        <f t="shared" si="9"/>
        <v>1.7713862486120011E-4</v>
      </c>
    </row>
    <row r="15" spans="1:30">
      <c r="A15" s="175">
        <f>WILD_CHUM_DATA!A20</f>
        <v>1980</v>
      </c>
      <c r="B15" s="176">
        <f>WILD_CHUM_DATA!O20</f>
        <v>412948</v>
      </c>
      <c r="C15" s="176">
        <f t="shared" si="1"/>
        <v>324040</v>
      </c>
      <c r="D15" s="176">
        <f t="shared" si="5"/>
        <v>404593.5</v>
      </c>
      <c r="E15" s="176">
        <f t="shared" si="7"/>
        <v>461675.33333333331</v>
      </c>
      <c r="F15" s="176">
        <f t="shared" si="8"/>
        <v>438876</v>
      </c>
      <c r="G15" s="176">
        <f t="shared" si="10"/>
        <v>371196.6</v>
      </c>
      <c r="H15" s="176">
        <f>AVERAGE(B5:B14)</f>
        <v>352466.2</v>
      </c>
      <c r="I15" s="166"/>
      <c r="J15" s="176">
        <f t="shared" si="2"/>
        <v>88908</v>
      </c>
      <c r="K15" s="176">
        <f t="shared" si="2"/>
        <v>8354.5</v>
      </c>
      <c r="L15" s="176">
        <f t="shared" si="2"/>
        <v>-48727.333333333314</v>
      </c>
      <c r="M15" s="176">
        <f t="shared" si="2"/>
        <v>-25928</v>
      </c>
      <c r="N15" s="176">
        <f t="shared" si="2"/>
        <v>41751.400000000023</v>
      </c>
      <c r="O15" s="176">
        <f t="shared" si="2"/>
        <v>60481.799999999988</v>
      </c>
      <c r="Q15" s="177">
        <f t="shared" si="3"/>
        <v>0.21530071582862734</v>
      </c>
      <c r="R15" s="177">
        <f t="shared" si="3"/>
        <v>2.0231360849307902E-2</v>
      </c>
      <c r="S15" s="177">
        <f t="shared" si="3"/>
        <v>-0.11799871493101628</v>
      </c>
      <c r="T15" s="177">
        <f t="shared" si="3"/>
        <v>-6.2787566473260559E-2</v>
      </c>
      <c r="U15" s="177">
        <f t="shared" si="3"/>
        <v>0.10110570822476443</v>
      </c>
      <c r="V15" s="177">
        <f t="shared" si="3"/>
        <v>0.14646347724168657</v>
      </c>
      <c r="W15" s="175">
        <f t="shared" si="0"/>
        <v>1980</v>
      </c>
      <c r="X15" s="178">
        <f t="shared" si="4"/>
        <v>0.21530071582862734</v>
      </c>
      <c r="Y15" s="178">
        <f t="shared" si="11"/>
        <v>2.0231360849307902E-2</v>
      </c>
      <c r="Z15" s="178">
        <f t="shared" si="12"/>
        <v>0.11799871493101628</v>
      </c>
      <c r="AA15" s="178">
        <f t="shared" si="13"/>
        <v>6.2787566473260559E-2</v>
      </c>
      <c r="AB15" s="178">
        <f t="shared" si="9"/>
        <v>0.10110570822476443</v>
      </c>
      <c r="AC15" s="178">
        <f t="shared" si="9"/>
        <v>0.14646347724168657</v>
      </c>
    </row>
    <row r="16" spans="1:30">
      <c r="A16" s="175">
        <f>WILD_CHUM_DATA!A21</f>
        <v>1981</v>
      </c>
      <c r="B16" s="176">
        <f>WILD_CHUM_DATA!O21</f>
        <v>1745869</v>
      </c>
      <c r="C16" s="176">
        <f t="shared" si="1"/>
        <v>412948</v>
      </c>
      <c r="D16" s="176">
        <f t="shared" si="5"/>
        <v>368494</v>
      </c>
      <c r="E16" s="176">
        <f t="shared" si="7"/>
        <v>407378.33333333331</v>
      </c>
      <c r="F16" s="176">
        <f t="shared" si="8"/>
        <v>449493.5</v>
      </c>
      <c r="G16" s="176">
        <f t="shared" si="10"/>
        <v>433690.4</v>
      </c>
      <c r="H16" s="176">
        <f t="shared" ref="H16:H46" si="14">AVERAGE(B6:B15)</f>
        <v>370694.9</v>
      </c>
      <c r="I16" s="166"/>
      <c r="J16" s="176">
        <f t="shared" si="2"/>
        <v>1332921</v>
      </c>
      <c r="K16" s="176">
        <f t="shared" si="2"/>
        <v>1377375</v>
      </c>
      <c r="L16" s="176">
        <f t="shared" si="2"/>
        <v>1338490.6666666667</v>
      </c>
      <c r="M16" s="176">
        <f t="shared" si="2"/>
        <v>1296375.5</v>
      </c>
      <c r="N16" s="176">
        <f t="shared" si="2"/>
        <v>1312178.6000000001</v>
      </c>
      <c r="O16" s="176">
        <f t="shared" si="2"/>
        <v>1375174.1</v>
      </c>
      <c r="Q16" s="177">
        <f t="shared" si="3"/>
        <v>0.76347137156338762</v>
      </c>
      <c r="R16" s="177">
        <f t="shared" si="3"/>
        <v>0.7889337630715707</v>
      </c>
      <c r="S16" s="177">
        <f t="shared" si="3"/>
        <v>0.76666156891878301</v>
      </c>
      <c r="T16" s="177">
        <f t="shared" si="3"/>
        <v>0.7425388159134505</v>
      </c>
      <c r="U16" s="177">
        <f t="shared" si="3"/>
        <v>0.75159052597875331</v>
      </c>
      <c r="V16" s="177">
        <f t="shared" si="3"/>
        <v>0.78767313011457341</v>
      </c>
      <c r="W16" s="175">
        <f t="shared" si="0"/>
        <v>1981</v>
      </c>
      <c r="X16" s="178">
        <f t="shared" si="4"/>
        <v>0.76347137156338762</v>
      </c>
      <c r="Y16" s="178">
        <f t="shared" si="11"/>
        <v>0.7889337630715707</v>
      </c>
      <c r="Z16" s="178">
        <f t="shared" si="12"/>
        <v>0.76666156891878301</v>
      </c>
      <c r="AA16" s="178">
        <f t="shared" si="13"/>
        <v>0.7425388159134505</v>
      </c>
      <c r="AB16" s="178">
        <f t="shared" si="9"/>
        <v>0.75159052597875331</v>
      </c>
      <c r="AC16" s="178">
        <f t="shared" si="9"/>
        <v>0.78767313011457341</v>
      </c>
    </row>
    <row r="17" spans="1:29">
      <c r="A17" s="175">
        <f>WILD_CHUM_DATA!A22</f>
        <v>1982</v>
      </c>
      <c r="B17" s="176">
        <f>WILD_CHUM_DATA!O22</f>
        <v>1335368</v>
      </c>
      <c r="C17" s="176">
        <f t="shared" si="1"/>
        <v>1745869</v>
      </c>
      <c r="D17" s="176">
        <f t="shared" si="5"/>
        <v>1079408.5</v>
      </c>
      <c r="E17" s="176">
        <f t="shared" si="7"/>
        <v>827619</v>
      </c>
      <c r="F17" s="176">
        <f t="shared" si="8"/>
        <v>742001</v>
      </c>
      <c r="G17" s="176">
        <f t="shared" si="10"/>
        <v>708768.6</v>
      </c>
      <c r="H17" s="176">
        <f t="shared" si="14"/>
        <v>487855.3</v>
      </c>
      <c r="I17" s="166"/>
      <c r="J17" s="176">
        <f t="shared" si="2"/>
        <v>-410501</v>
      </c>
      <c r="K17" s="176">
        <f t="shared" si="2"/>
        <v>255959.5</v>
      </c>
      <c r="L17" s="176">
        <f t="shared" si="2"/>
        <v>507749</v>
      </c>
      <c r="M17" s="176">
        <f t="shared" si="2"/>
        <v>593367</v>
      </c>
      <c r="N17" s="176">
        <f t="shared" si="2"/>
        <v>626599.4</v>
      </c>
      <c r="O17" s="176">
        <f t="shared" si="2"/>
        <v>847512.7</v>
      </c>
      <c r="Q17" s="177">
        <f t="shared" si="3"/>
        <v>-0.30740664745598217</v>
      </c>
      <c r="R17" s="177">
        <f t="shared" si="3"/>
        <v>0.19167712570617237</v>
      </c>
      <c r="S17" s="177">
        <f t="shared" si="3"/>
        <v>0.38023151670550742</v>
      </c>
      <c r="T17" s="177">
        <f t="shared" si="3"/>
        <v>0.44434717620910491</v>
      </c>
      <c r="U17" s="177">
        <f t="shared" si="3"/>
        <v>0.46923349967948913</v>
      </c>
      <c r="V17" s="177">
        <f t="shared" si="3"/>
        <v>0.63466602464638955</v>
      </c>
      <c r="W17" s="175">
        <f t="shared" si="0"/>
        <v>1982</v>
      </c>
      <c r="X17" s="178">
        <f t="shared" si="4"/>
        <v>0.30740664745598217</v>
      </c>
      <c r="Y17" s="178">
        <f t="shared" si="11"/>
        <v>0.19167712570617237</v>
      </c>
      <c r="Z17" s="178">
        <f t="shared" si="12"/>
        <v>0.38023151670550742</v>
      </c>
      <c r="AA17" s="178">
        <f t="shared" si="13"/>
        <v>0.44434717620910491</v>
      </c>
      <c r="AB17" s="178">
        <f t="shared" si="9"/>
        <v>0.46923349967948913</v>
      </c>
      <c r="AC17" s="178">
        <f t="shared" si="9"/>
        <v>0.63466602464638955</v>
      </c>
    </row>
    <row r="18" spans="1:29">
      <c r="A18" s="175">
        <f>WILD_CHUM_DATA!A23</f>
        <v>1983</v>
      </c>
      <c r="B18" s="176">
        <f>WILD_CHUM_DATA!O23</f>
        <v>1030546</v>
      </c>
      <c r="C18" s="176">
        <f t="shared" si="1"/>
        <v>1335368</v>
      </c>
      <c r="D18" s="176">
        <f t="shared" si="5"/>
        <v>1540618.5</v>
      </c>
      <c r="E18" s="176">
        <f t="shared" si="7"/>
        <v>1164728.3333333333</v>
      </c>
      <c r="F18" s="176">
        <f t="shared" si="8"/>
        <v>954556.25</v>
      </c>
      <c r="G18" s="176">
        <f t="shared" si="10"/>
        <v>860674.4</v>
      </c>
      <c r="H18" s="176">
        <f t="shared" si="14"/>
        <v>616855.1</v>
      </c>
      <c r="I18" s="166"/>
      <c r="J18" s="176">
        <f t="shared" si="2"/>
        <v>-304822</v>
      </c>
      <c r="K18" s="176">
        <f t="shared" si="2"/>
        <v>-510072.5</v>
      </c>
      <c r="L18" s="176">
        <f t="shared" si="2"/>
        <v>-134182.33333333326</v>
      </c>
      <c r="M18" s="176">
        <f t="shared" si="2"/>
        <v>75989.75</v>
      </c>
      <c r="N18" s="176">
        <f t="shared" si="2"/>
        <v>169871.59999999998</v>
      </c>
      <c r="O18" s="176">
        <f t="shared" si="2"/>
        <v>413690.9</v>
      </c>
      <c r="Q18" s="177">
        <f t="shared" si="3"/>
        <v>-0.29578689354963289</v>
      </c>
      <c r="R18" s="177">
        <f t="shared" si="3"/>
        <v>-0.49495364593138008</v>
      </c>
      <c r="S18" s="177">
        <f t="shared" si="3"/>
        <v>-0.13020508869408376</v>
      </c>
      <c r="T18" s="177">
        <f t="shared" si="3"/>
        <v>7.3737368346488169E-2</v>
      </c>
      <c r="U18" s="177">
        <f t="shared" si="3"/>
        <v>0.16483650414440498</v>
      </c>
      <c r="V18" s="177">
        <f t="shared" si="3"/>
        <v>0.40142885421902569</v>
      </c>
      <c r="W18" s="175">
        <f t="shared" si="0"/>
        <v>1983</v>
      </c>
      <c r="X18" s="178">
        <f t="shared" si="4"/>
        <v>0.29578689354963289</v>
      </c>
      <c r="Y18" s="178">
        <f t="shared" si="11"/>
        <v>0.49495364593138008</v>
      </c>
      <c r="Z18" s="178">
        <f t="shared" si="12"/>
        <v>0.13020508869408376</v>
      </c>
      <c r="AA18" s="178">
        <f t="shared" si="13"/>
        <v>7.3737368346488169E-2</v>
      </c>
      <c r="AB18" s="178">
        <f t="shared" si="9"/>
        <v>0.16483650414440498</v>
      </c>
      <c r="AC18" s="178">
        <f t="shared" si="9"/>
        <v>0.40142885421902569</v>
      </c>
    </row>
    <row r="19" spans="1:29">
      <c r="A19" s="175">
        <f>WILD_CHUM_DATA!A24</f>
        <v>1984</v>
      </c>
      <c r="B19" s="176">
        <f>WILD_CHUM_DATA!O24</f>
        <v>1196785</v>
      </c>
      <c r="C19" s="176">
        <f t="shared" si="1"/>
        <v>1030546</v>
      </c>
      <c r="D19" s="176">
        <f t="shared" si="5"/>
        <v>1182957</v>
      </c>
      <c r="E19" s="176">
        <f t="shared" si="7"/>
        <v>1370594.3333333333</v>
      </c>
      <c r="F19" s="176">
        <f t="shared" si="8"/>
        <v>1131182.75</v>
      </c>
      <c r="G19" s="176">
        <f t="shared" si="10"/>
        <v>969754.2</v>
      </c>
      <c r="H19" s="176">
        <f t="shared" si="14"/>
        <v>646925.80000000005</v>
      </c>
      <c r="I19" s="166"/>
      <c r="J19" s="176">
        <f t="shared" si="2"/>
        <v>166239</v>
      </c>
      <c r="K19" s="176">
        <f t="shared" si="2"/>
        <v>13828</v>
      </c>
      <c r="L19" s="176">
        <f t="shared" si="2"/>
        <v>-173809.33333333326</v>
      </c>
      <c r="M19" s="176">
        <f t="shared" si="2"/>
        <v>65602.25</v>
      </c>
      <c r="N19" s="176">
        <f t="shared" si="2"/>
        <v>227030.80000000005</v>
      </c>
      <c r="O19" s="176">
        <f t="shared" si="2"/>
        <v>549859.19999999995</v>
      </c>
      <c r="Q19" s="177">
        <f t="shared" si="3"/>
        <v>0.13890464870465455</v>
      </c>
      <c r="R19" s="177">
        <f t="shared" si="3"/>
        <v>1.1554289199814502E-2</v>
      </c>
      <c r="S19" s="177">
        <f t="shared" si="3"/>
        <v>-0.14523020704080788</v>
      </c>
      <c r="T19" s="177">
        <f t="shared" si="3"/>
        <v>5.4815401262549246E-2</v>
      </c>
      <c r="U19" s="177">
        <f t="shared" si="3"/>
        <v>0.18970057278458541</v>
      </c>
      <c r="V19" s="177">
        <f t="shared" si="3"/>
        <v>0.45944693491312139</v>
      </c>
      <c r="W19" s="175">
        <f t="shared" si="0"/>
        <v>1984</v>
      </c>
      <c r="X19" s="178">
        <f t="shared" si="4"/>
        <v>0.13890464870465455</v>
      </c>
      <c r="Y19" s="178">
        <f t="shared" si="11"/>
        <v>1.1554289199814502E-2</v>
      </c>
      <c r="Z19" s="178">
        <f t="shared" si="12"/>
        <v>0.14523020704080788</v>
      </c>
      <c r="AA19" s="178">
        <f t="shared" si="13"/>
        <v>5.4815401262549246E-2</v>
      </c>
      <c r="AB19" s="178">
        <f t="shared" si="9"/>
        <v>0.18970057278458541</v>
      </c>
      <c r="AC19" s="178">
        <f t="shared" si="9"/>
        <v>0.45944693491312139</v>
      </c>
    </row>
    <row r="20" spans="1:29">
      <c r="A20" s="175">
        <f>WILD_CHUM_DATA!A25</f>
        <v>1985</v>
      </c>
      <c r="B20" s="176">
        <f>WILD_CHUM_DATA!O25</f>
        <v>1302090</v>
      </c>
      <c r="C20" s="176">
        <f t="shared" si="1"/>
        <v>1196785</v>
      </c>
      <c r="D20" s="176">
        <f t="shared" si="5"/>
        <v>1113665.5</v>
      </c>
      <c r="E20" s="176">
        <f t="shared" si="7"/>
        <v>1187566.3333333333</v>
      </c>
      <c r="F20" s="176">
        <f t="shared" si="8"/>
        <v>1327142</v>
      </c>
      <c r="G20" s="176">
        <f t="shared" si="10"/>
        <v>1144303.2</v>
      </c>
      <c r="H20" s="176">
        <f t="shared" si="14"/>
        <v>757749.9</v>
      </c>
      <c r="I20" s="166"/>
      <c r="J20" s="176">
        <f t="shared" si="2"/>
        <v>105305</v>
      </c>
      <c r="K20" s="176">
        <f t="shared" si="2"/>
        <v>188424.5</v>
      </c>
      <c r="L20" s="176">
        <f t="shared" si="2"/>
        <v>114523.66666666674</v>
      </c>
      <c r="M20" s="176">
        <f t="shared" si="2"/>
        <v>-25052</v>
      </c>
      <c r="N20" s="176">
        <f t="shared" si="2"/>
        <v>157786.80000000005</v>
      </c>
      <c r="O20" s="176">
        <f t="shared" si="2"/>
        <v>544340.1</v>
      </c>
      <c r="Q20" s="177">
        <f t="shared" si="3"/>
        <v>8.0873825926011264E-2</v>
      </c>
      <c r="R20" s="177">
        <f t="shared" si="3"/>
        <v>0.14470927508851156</v>
      </c>
      <c r="S20" s="177">
        <f t="shared" si="3"/>
        <v>8.7953725676924596E-2</v>
      </c>
      <c r="T20" s="177">
        <f t="shared" si="3"/>
        <v>-1.9239837492032039E-2</v>
      </c>
      <c r="U20" s="177">
        <f t="shared" si="3"/>
        <v>0.1211796419602332</v>
      </c>
      <c r="V20" s="177">
        <f t="shared" si="3"/>
        <v>0.4180510563785913</v>
      </c>
      <c r="W20" s="175">
        <f t="shared" si="0"/>
        <v>1985</v>
      </c>
      <c r="X20" s="178">
        <f t="shared" si="4"/>
        <v>8.0873825926011264E-2</v>
      </c>
      <c r="Y20" s="178">
        <f t="shared" si="11"/>
        <v>0.14470927508851156</v>
      </c>
      <c r="Z20" s="178">
        <f t="shared" si="12"/>
        <v>8.7953725676924596E-2</v>
      </c>
      <c r="AA20" s="178">
        <f t="shared" si="13"/>
        <v>1.9239837492032039E-2</v>
      </c>
      <c r="AB20" s="178">
        <f t="shared" si="9"/>
        <v>0.1211796419602332</v>
      </c>
      <c r="AC20" s="178">
        <f t="shared" si="9"/>
        <v>0.4180510563785913</v>
      </c>
    </row>
    <row r="21" spans="1:29">
      <c r="A21" s="175">
        <f>WILD_CHUM_DATA!A26</f>
        <v>1986</v>
      </c>
      <c r="B21" s="176">
        <f>WILD_CHUM_DATA!O26</f>
        <v>1662366</v>
      </c>
      <c r="C21" s="176">
        <f t="shared" si="1"/>
        <v>1302090</v>
      </c>
      <c r="D21" s="176">
        <f t="shared" si="5"/>
        <v>1249437.5</v>
      </c>
      <c r="E21" s="176">
        <f t="shared" si="7"/>
        <v>1176473.6666666667</v>
      </c>
      <c r="F21" s="176">
        <f t="shared" si="8"/>
        <v>1216197.25</v>
      </c>
      <c r="G21" s="176">
        <f t="shared" si="10"/>
        <v>1322131.6000000001</v>
      </c>
      <c r="H21" s="176">
        <f t="shared" si="14"/>
        <v>877911</v>
      </c>
      <c r="I21" s="166"/>
      <c r="J21" s="176">
        <f t="shared" si="2"/>
        <v>360276</v>
      </c>
      <c r="K21" s="176">
        <f t="shared" si="2"/>
        <v>412928.5</v>
      </c>
      <c r="L21" s="176">
        <f t="shared" si="2"/>
        <v>485892.33333333326</v>
      </c>
      <c r="M21" s="176">
        <f t="shared" si="2"/>
        <v>446168.75</v>
      </c>
      <c r="N21" s="176">
        <f t="shared" si="2"/>
        <v>340234.39999999991</v>
      </c>
      <c r="O21" s="176">
        <f t="shared" si="2"/>
        <v>784455</v>
      </c>
      <c r="Q21" s="177">
        <f t="shared" si="3"/>
        <v>0.2167248367687982</v>
      </c>
      <c r="R21" s="177">
        <f t="shared" si="3"/>
        <v>0.24839806637046233</v>
      </c>
      <c r="S21" s="177">
        <f t="shared" si="3"/>
        <v>0.29228962414614668</v>
      </c>
      <c r="T21" s="177">
        <f t="shared" si="3"/>
        <v>0.26839381339608726</v>
      </c>
      <c r="U21" s="177">
        <f t="shared" si="3"/>
        <v>0.20466876728710759</v>
      </c>
      <c r="V21" s="177">
        <f t="shared" si="3"/>
        <v>0.47189066667629148</v>
      </c>
      <c r="W21" s="175">
        <f t="shared" si="0"/>
        <v>1986</v>
      </c>
      <c r="X21" s="178">
        <f t="shared" si="4"/>
        <v>0.2167248367687982</v>
      </c>
      <c r="Y21" s="178">
        <f t="shared" si="11"/>
        <v>0.24839806637046233</v>
      </c>
      <c r="Z21" s="178">
        <f t="shared" si="12"/>
        <v>0.29228962414614668</v>
      </c>
      <c r="AA21" s="178">
        <f t="shared" si="13"/>
        <v>0.26839381339608726</v>
      </c>
      <c r="AB21" s="178">
        <f t="shared" si="9"/>
        <v>0.20466876728710759</v>
      </c>
      <c r="AC21" s="178">
        <f t="shared" si="9"/>
        <v>0.47189066667629148</v>
      </c>
    </row>
    <row r="22" spans="1:29">
      <c r="A22" s="175">
        <f>WILD_CHUM_DATA!A27</f>
        <v>1987</v>
      </c>
      <c r="B22" s="176">
        <f>WILD_CHUM_DATA!O27</f>
        <v>1616850.0588235294</v>
      </c>
      <c r="C22" s="176">
        <f t="shared" si="1"/>
        <v>1662366</v>
      </c>
      <c r="D22" s="176">
        <f t="shared" si="5"/>
        <v>1482228</v>
      </c>
      <c r="E22" s="176">
        <f t="shared" si="7"/>
        <v>1387080.3333333333</v>
      </c>
      <c r="F22" s="176">
        <f t="shared" si="8"/>
        <v>1297946.75</v>
      </c>
      <c r="G22" s="176">
        <f t="shared" si="10"/>
        <v>1305431</v>
      </c>
      <c r="H22" s="176">
        <f t="shared" si="14"/>
        <v>1007099.8</v>
      </c>
      <c r="I22" s="166"/>
      <c r="J22" s="176">
        <f t="shared" si="2"/>
        <v>-45515.941176470602</v>
      </c>
      <c r="K22" s="176">
        <f t="shared" si="2"/>
        <v>134622.0588235294</v>
      </c>
      <c r="L22" s="176">
        <f t="shared" si="2"/>
        <v>229769.72549019614</v>
      </c>
      <c r="M22" s="176">
        <f t="shared" si="2"/>
        <v>318903.3088235294</v>
      </c>
      <c r="N22" s="176">
        <f t="shared" si="2"/>
        <v>311419.0588235294</v>
      </c>
      <c r="O22" s="176">
        <f t="shared" si="2"/>
        <v>609750.25882352935</v>
      </c>
      <c r="Q22" s="177">
        <f t="shared" si="3"/>
        <v>-2.815099701303745E-2</v>
      </c>
      <c r="R22" s="177">
        <f t="shared" si="3"/>
        <v>8.3261931487626381E-2</v>
      </c>
      <c r="S22" s="177">
        <f t="shared" si="3"/>
        <v>0.14210948271689694</v>
      </c>
      <c r="T22" s="177">
        <f t="shared" si="3"/>
        <v>0.19723740434878259</v>
      </c>
      <c r="U22" s="177">
        <f t="shared" si="3"/>
        <v>0.19260849645521716</v>
      </c>
      <c r="V22" s="177">
        <f t="shared" si="3"/>
        <v>0.3771223283791712</v>
      </c>
      <c r="W22" s="175">
        <f t="shared" si="0"/>
        <v>1987</v>
      </c>
      <c r="X22" s="178">
        <f t="shared" si="4"/>
        <v>2.815099701303745E-2</v>
      </c>
      <c r="Y22" s="178">
        <f t="shared" si="11"/>
        <v>8.3261931487626381E-2</v>
      </c>
      <c r="Z22" s="178">
        <f t="shared" si="12"/>
        <v>0.14210948271689694</v>
      </c>
      <c r="AA22" s="178">
        <f t="shared" si="13"/>
        <v>0.19723740434878259</v>
      </c>
      <c r="AB22" s="178">
        <f t="shared" si="9"/>
        <v>0.19260849645521716</v>
      </c>
      <c r="AC22" s="178">
        <f t="shared" si="9"/>
        <v>0.3771223283791712</v>
      </c>
    </row>
    <row r="23" spans="1:29">
      <c r="A23" s="175">
        <f>WILD_CHUM_DATA!A28</f>
        <v>1988</v>
      </c>
      <c r="B23" s="176">
        <f>WILD_CHUM_DATA!O28</f>
        <v>1265442.0588235294</v>
      </c>
      <c r="C23" s="176">
        <f t="shared" si="1"/>
        <v>1616850.0588235294</v>
      </c>
      <c r="D23" s="176">
        <f t="shared" si="5"/>
        <v>1639608.0294117648</v>
      </c>
      <c r="E23" s="176">
        <f t="shared" si="7"/>
        <v>1527102.0196078431</v>
      </c>
      <c r="F23" s="176">
        <f t="shared" si="8"/>
        <v>1444522.7647058824</v>
      </c>
      <c r="G23" s="176">
        <f t="shared" si="10"/>
        <v>1361727.411764706</v>
      </c>
      <c r="H23" s="176">
        <f t="shared" si="14"/>
        <v>1111200.905882353</v>
      </c>
      <c r="I23" s="166"/>
      <c r="J23" s="176">
        <f t="shared" si="2"/>
        <v>-351408</v>
      </c>
      <c r="K23" s="176">
        <f t="shared" si="2"/>
        <v>-374165.97058823542</v>
      </c>
      <c r="L23" s="176">
        <f t="shared" si="2"/>
        <v>-261659.96078431373</v>
      </c>
      <c r="M23" s="176">
        <f t="shared" si="2"/>
        <v>-179080.70588235301</v>
      </c>
      <c r="N23" s="176">
        <f t="shared" si="2"/>
        <v>-96285.352941176621</v>
      </c>
      <c r="O23" s="176">
        <f t="shared" si="2"/>
        <v>154241.15294117643</v>
      </c>
      <c r="Q23" s="177">
        <f t="shared" si="3"/>
        <v>-0.2776958435589702</v>
      </c>
      <c r="R23" s="177">
        <f t="shared" si="3"/>
        <v>-0.29568004949676979</v>
      </c>
      <c r="S23" s="177">
        <f t="shared" si="3"/>
        <v>-0.2067735610333489</v>
      </c>
      <c r="T23" s="177">
        <f t="shared" si="3"/>
        <v>-0.14151632201069941</v>
      </c>
      <c r="U23" s="177">
        <f t="shared" si="3"/>
        <v>-7.6088314174330735E-2</v>
      </c>
      <c r="V23" s="177">
        <f t="shared" si="3"/>
        <v>0.12188717125821874</v>
      </c>
      <c r="W23" s="175">
        <f t="shared" si="0"/>
        <v>1988</v>
      </c>
      <c r="X23" s="178">
        <f t="shared" si="4"/>
        <v>0.2776958435589702</v>
      </c>
      <c r="Y23" s="178">
        <f t="shared" si="11"/>
        <v>0.29568004949676979</v>
      </c>
      <c r="Z23" s="178">
        <f t="shared" si="12"/>
        <v>0.2067735610333489</v>
      </c>
      <c r="AA23" s="178">
        <f t="shared" si="13"/>
        <v>0.14151632201069941</v>
      </c>
      <c r="AB23" s="178">
        <f t="shared" si="9"/>
        <v>7.6088314174330735E-2</v>
      </c>
      <c r="AC23" s="178">
        <f t="shared" si="9"/>
        <v>0.12188717125821874</v>
      </c>
    </row>
    <row r="24" spans="1:29">
      <c r="A24" s="175">
        <f>WILD_CHUM_DATA!A29</f>
        <v>1989</v>
      </c>
      <c r="B24" s="176">
        <f>WILD_CHUM_DATA!O29</f>
        <v>687035.0588235294</v>
      </c>
      <c r="C24" s="176">
        <f t="shared" si="1"/>
        <v>1265442.0588235294</v>
      </c>
      <c r="D24" s="176">
        <f t="shared" si="5"/>
        <v>1441146.0588235294</v>
      </c>
      <c r="E24" s="176">
        <f t="shared" si="7"/>
        <v>1514886.0392156865</v>
      </c>
      <c r="F24" s="176">
        <f t="shared" si="8"/>
        <v>1461687.0294117648</v>
      </c>
      <c r="G24" s="176">
        <f t="shared" si="10"/>
        <v>1408706.6235294119</v>
      </c>
      <c r="H24" s="176">
        <f t="shared" si="14"/>
        <v>1189230.411764706</v>
      </c>
      <c r="I24" s="166"/>
      <c r="J24" s="176">
        <f t="shared" si="2"/>
        <v>-578407</v>
      </c>
      <c r="K24" s="176">
        <f t="shared" si="2"/>
        <v>-754111</v>
      </c>
      <c r="L24" s="176">
        <f t="shared" si="2"/>
        <v>-827850.9803921571</v>
      </c>
      <c r="M24" s="176">
        <f t="shared" si="2"/>
        <v>-774651.97058823542</v>
      </c>
      <c r="N24" s="176">
        <f t="shared" si="2"/>
        <v>-721671.56470588245</v>
      </c>
      <c r="O24" s="176">
        <f t="shared" si="2"/>
        <v>-502195.35294117662</v>
      </c>
      <c r="Q24" s="177">
        <f t="shared" si="3"/>
        <v>-0.8418886235448555</v>
      </c>
      <c r="R24" s="177">
        <f t="shared" si="3"/>
        <v>-1.097631031073335</v>
      </c>
      <c r="S24" s="177">
        <f t="shared" si="3"/>
        <v>-1.2049617697963757</v>
      </c>
      <c r="T24" s="177">
        <f t="shared" si="3"/>
        <v>-1.1275290258327431</v>
      </c>
      <c r="U24" s="177">
        <f t="shared" si="3"/>
        <v>-1.0504144663907897</v>
      </c>
      <c r="V24" s="177">
        <f t="shared" si="3"/>
        <v>-0.73096030033915582</v>
      </c>
      <c r="W24" s="175">
        <f t="shared" si="0"/>
        <v>1989</v>
      </c>
      <c r="X24" s="178">
        <f t="shared" si="4"/>
        <v>0.8418886235448555</v>
      </c>
      <c r="Y24" s="178">
        <f t="shared" si="11"/>
        <v>1.097631031073335</v>
      </c>
      <c r="Z24" s="178">
        <f t="shared" si="12"/>
        <v>1.2049617697963757</v>
      </c>
      <c r="AA24" s="178">
        <f t="shared" si="13"/>
        <v>1.1275290258327431</v>
      </c>
      <c r="AB24" s="178">
        <f t="shared" si="9"/>
        <v>1.0504144663907897</v>
      </c>
      <c r="AC24" s="178">
        <f t="shared" si="9"/>
        <v>0.73096030033915582</v>
      </c>
    </row>
    <row r="25" spans="1:29">
      <c r="A25" s="175">
        <f>WILD_CHUM_DATA!A30</f>
        <v>1990</v>
      </c>
      <c r="B25" s="176">
        <f>WILD_CHUM_DATA!O30</f>
        <v>411611.05882352946</v>
      </c>
      <c r="C25" s="176">
        <f t="shared" si="1"/>
        <v>687035.0588235294</v>
      </c>
      <c r="D25" s="176">
        <f t="shared" si="5"/>
        <v>976238.5588235294</v>
      </c>
      <c r="E25" s="176">
        <f t="shared" si="7"/>
        <v>1189775.7254901959</v>
      </c>
      <c r="F25" s="176">
        <f t="shared" si="8"/>
        <v>1307923.2941176472</v>
      </c>
      <c r="G25" s="176">
        <f t="shared" si="10"/>
        <v>1306756.6352941177</v>
      </c>
      <c r="H25" s="176">
        <f t="shared" si="14"/>
        <v>1225529.9176470588</v>
      </c>
      <c r="I25" s="166"/>
      <c r="J25" s="176">
        <f t="shared" si="2"/>
        <v>-275423.99999999994</v>
      </c>
      <c r="K25" s="176">
        <f t="shared" si="2"/>
        <v>-564627.5</v>
      </c>
      <c r="L25" s="176">
        <f t="shared" si="2"/>
        <v>-778164.66666666651</v>
      </c>
      <c r="M25" s="176">
        <f t="shared" si="2"/>
        <v>-896312.23529411783</v>
      </c>
      <c r="N25" s="176">
        <f t="shared" si="2"/>
        <v>-895145.57647058833</v>
      </c>
      <c r="O25" s="176">
        <f t="shared" si="2"/>
        <v>-813918.85882352944</v>
      </c>
      <c r="Q25" s="177">
        <f t="shared" si="3"/>
        <v>-0.66913654066345873</v>
      </c>
      <c r="R25" s="177">
        <f t="shared" si="3"/>
        <v>-1.3717500730272494</v>
      </c>
      <c r="S25" s="177">
        <f t="shared" si="3"/>
        <v>-1.8905339154171998</v>
      </c>
      <c r="T25" s="177">
        <f t="shared" si="3"/>
        <v>-2.1775708307156902</v>
      </c>
      <c r="U25" s="177">
        <f t="shared" si="3"/>
        <v>-2.1747364588043423</v>
      </c>
      <c r="V25" s="177">
        <f t="shared" si="3"/>
        <v>-1.9773979376304414</v>
      </c>
      <c r="W25" s="175">
        <f t="shared" si="0"/>
        <v>1990</v>
      </c>
      <c r="X25" s="180">
        <f t="shared" si="4"/>
        <v>0.66913654066345873</v>
      </c>
      <c r="Y25" s="180">
        <f t="shared" si="11"/>
        <v>1.3717500730272494</v>
      </c>
      <c r="Z25" s="180">
        <f t="shared" si="12"/>
        <v>1.8905339154171998</v>
      </c>
      <c r="AA25" s="180">
        <f t="shared" si="13"/>
        <v>2.1775708307156902</v>
      </c>
      <c r="AB25" s="180">
        <f t="shared" si="9"/>
        <v>2.1747364588043423</v>
      </c>
      <c r="AC25" s="180">
        <f t="shared" si="9"/>
        <v>1.9773979376304414</v>
      </c>
    </row>
    <row r="26" spans="1:29">
      <c r="A26" s="175">
        <f>WILD_CHUM_DATA!A31</f>
        <v>1991</v>
      </c>
      <c r="B26" s="176">
        <f>WILD_CHUM_DATA!O31</f>
        <v>170286.0588235294</v>
      </c>
      <c r="C26" s="176">
        <f t="shared" si="1"/>
        <v>411611.05882352946</v>
      </c>
      <c r="D26" s="176">
        <f t="shared" si="5"/>
        <v>549323.0588235294</v>
      </c>
      <c r="E26" s="176">
        <f t="shared" si="7"/>
        <v>788029.39215686277</v>
      </c>
      <c r="F26" s="176">
        <f t="shared" si="8"/>
        <v>995234.5588235294</v>
      </c>
      <c r="G26" s="176">
        <f t="shared" si="10"/>
        <v>1128660.8470588238</v>
      </c>
      <c r="H26" s="176">
        <f t="shared" si="14"/>
        <v>1225396.2235294119</v>
      </c>
      <c r="I26" s="166"/>
      <c r="J26" s="176">
        <f t="shared" si="2"/>
        <v>-241325.00000000006</v>
      </c>
      <c r="K26" s="176">
        <f t="shared" si="2"/>
        <v>-379037</v>
      </c>
      <c r="L26" s="176">
        <f t="shared" si="2"/>
        <v>-617743.33333333337</v>
      </c>
      <c r="M26" s="176">
        <f t="shared" si="2"/>
        <v>-824948.5</v>
      </c>
      <c r="N26" s="176">
        <f t="shared" si="2"/>
        <v>-958374.7882352944</v>
      </c>
      <c r="O26" s="176">
        <f t="shared" si="2"/>
        <v>-1055110.1647058825</v>
      </c>
      <c r="Q26" s="177">
        <f t="shared" si="3"/>
        <v>-1.4171741460649439</v>
      </c>
      <c r="R26" s="177">
        <f t="shared" si="3"/>
        <v>-2.2258839192044668</v>
      </c>
      <c r="S26" s="177">
        <f t="shared" si="3"/>
        <v>-3.6276800203210544</v>
      </c>
      <c r="T26" s="177">
        <f t="shared" si="3"/>
        <v>-4.8444864230189824</v>
      </c>
      <c r="U26" s="177">
        <f t="shared" si="3"/>
        <v>-5.6280284766498472</v>
      </c>
      <c r="V26" s="177">
        <f t="shared" si="3"/>
        <v>-6.1961042025132125</v>
      </c>
      <c r="W26" s="175">
        <f t="shared" si="0"/>
        <v>1991</v>
      </c>
      <c r="X26" s="178">
        <f t="shared" si="4"/>
        <v>1.4171741460649439</v>
      </c>
      <c r="Y26" s="178">
        <f t="shared" si="11"/>
        <v>2.2258839192044668</v>
      </c>
      <c r="Z26" s="178">
        <f t="shared" si="12"/>
        <v>3.6276800203210544</v>
      </c>
      <c r="AA26" s="178">
        <f t="shared" si="13"/>
        <v>4.8444864230189824</v>
      </c>
      <c r="AB26" s="178">
        <f t="shared" si="9"/>
        <v>5.6280284766498472</v>
      </c>
      <c r="AC26" s="178">
        <f t="shared" si="9"/>
        <v>6.1961042025132125</v>
      </c>
    </row>
    <row r="27" spans="1:29">
      <c r="A27" s="175">
        <f>WILD_CHUM_DATA!A32</f>
        <v>1992</v>
      </c>
      <c r="B27" s="176">
        <f>WILD_CHUM_DATA!O32</f>
        <v>179741.0588235294</v>
      </c>
      <c r="C27" s="176">
        <f t="shared" si="1"/>
        <v>170286.0588235294</v>
      </c>
      <c r="D27" s="176">
        <f t="shared" si="5"/>
        <v>290948.5588235294</v>
      </c>
      <c r="E27" s="176">
        <f t="shared" si="7"/>
        <v>422977.39215686271</v>
      </c>
      <c r="F27" s="176">
        <f t="shared" si="8"/>
        <v>633593.5588235294</v>
      </c>
      <c r="G27" s="176">
        <f t="shared" si="10"/>
        <v>830244.85882352944</v>
      </c>
      <c r="H27" s="176">
        <f t="shared" si="14"/>
        <v>1067837.9294117647</v>
      </c>
      <c r="I27" s="166"/>
      <c r="J27" s="176">
        <f t="shared" si="2"/>
        <v>9455</v>
      </c>
      <c r="K27" s="176">
        <f t="shared" si="2"/>
        <v>-111207.5</v>
      </c>
      <c r="L27" s="176">
        <f t="shared" si="2"/>
        <v>-243236.33333333331</v>
      </c>
      <c r="M27" s="176">
        <f t="shared" si="2"/>
        <v>-453852.5</v>
      </c>
      <c r="N27" s="176">
        <f t="shared" si="2"/>
        <v>-650503.80000000005</v>
      </c>
      <c r="O27" s="176">
        <f t="shared" si="2"/>
        <v>-888096.87058823532</v>
      </c>
      <c r="Q27" s="177">
        <f t="shared" si="3"/>
        <v>5.2603451108424605E-2</v>
      </c>
      <c r="R27" s="177">
        <f t="shared" si="3"/>
        <v>-0.6187094964717218</v>
      </c>
      <c r="S27" s="177">
        <f t="shared" si="3"/>
        <v>-1.353259711083286</v>
      </c>
      <c r="T27" s="177">
        <f t="shared" si="3"/>
        <v>-2.5250351976928904</v>
      </c>
      <c r="U27" s="177">
        <f t="shared" si="3"/>
        <v>-3.619116323547797</v>
      </c>
      <c r="V27" s="177">
        <f t="shared" si="3"/>
        <v>-4.9409794089405743</v>
      </c>
      <c r="W27" s="175">
        <f t="shared" si="0"/>
        <v>1992</v>
      </c>
      <c r="X27" s="178">
        <f t="shared" si="4"/>
        <v>5.2603451108424605E-2</v>
      </c>
      <c r="Y27" s="178">
        <f t="shared" si="11"/>
        <v>0.6187094964717218</v>
      </c>
      <c r="Z27" s="178">
        <f t="shared" si="12"/>
        <v>1.353259711083286</v>
      </c>
      <c r="AA27" s="178">
        <f t="shared" si="13"/>
        <v>2.5250351976928904</v>
      </c>
      <c r="AB27" s="178">
        <f t="shared" si="9"/>
        <v>3.619116323547797</v>
      </c>
      <c r="AC27" s="178">
        <f t="shared" si="9"/>
        <v>4.9409794089405743</v>
      </c>
    </row>
    <row r="28" spans="1:29">
      <c r="A28" s="175">
        <f>WILD_CHUM_DATA!A33</f>
        <v>1993</v>
      </c>
      <c r="B28" s="176">
        <f>WILD_CHUM_DATA!O33</f>
        <v>158498.0588235294</v>
      </c>
      <c r="C28" s="176">
        <f t="shared" si="1"/>
        <v>179741.0588235294</v>
      </c>
      <c r="D28" s="176">
        <f t="shared" si="5"/>
        <v>175013.5588235294</v>
      </c>
      <c r="E28" s="176">
        <f t="shared" si="7"/>
        <v>253879.39215686274</v>
      </c>
      <c r="F28" s="176">
        <f t="shared" si="8"/>
        <v>362168.3088235294</v>
      </c>
      <c r="G28" s="176">
        <f t="shared" si="10"/>
        <v>542823.0588235294</v>
      </c>
      <c r="H28" s="176">
        <f t="shared" si="14"/>
        <v>952275.23529411783</v>
      </c>
      <c r="I28" s="166"/>
      <c r="J28" s="176">
        <f t="shared" si="2"/>
        <v>-21243</v>
      </c>
      <c r="K28" s="176">
        <f t="shared" si="2"/>
        <v>-16515.5</v>
      </c>
      <c r="L28" s="176">
        <f t="shared" si="2"/>
        <v>-95381.333333333343</v>
      </c>
      <c r="M28" s="176">
        <f t="shared" si="2"/>
        <v>-203670.25</v>
      </c>
      <c r="N28" s="176">
        <f t="shared" si="2"/>
        <v>-384325</v>
      </c>
      <c r="O28" s="176">
        <f t="shared" si="2"/>
        <v>-793777.17647058843</v>
      </c>
      <c r="Q28" s="177">
        <f t="shared" si="3"/>
        <v>-0.13402687804304156</v>
      </c>
      <c r="R28" s="177">
        <f t="shared" si="3"/>
        <v>-0.10420001432565329</v>
      </c>
      <c r="S28" s="177">
        <f t="shared" si="3"/>
        <v>-0.6017823438426475</v>
      </c>
      <c r="T28" s="177">
        <f t="shared" si="3"/>
        <v>-1.2850015420489471</v>
      </c>
      <c r="U28" s="177">
        <f t="shared" si="3"/>
        <v>-2.424793103793812</v>
      </c>
      <c r="V28" s="177">
        <f t="shared" si="3"/>
        <v>-5.0081192310019027</v>
      </c>
      <c r="W28" s="175">
        <f t="shared" si="0"/>
        <v>1993</v>
      </c>
      <c r="X28" s="178">
        <f t="shared" si="4"/>
        <v>0.13402687804304156</v>
      </c>
      <c r="Y28" s="178">
        <f t="shared" si="11"/>
        <v>0.10420001432565329</v>
      </c>
      <c r="Z28" s="178">
        <f t="shared" si="12"/>
        <v>0.6017823438426475</v>
      </c>
      <c r="AA28" s="178">
        <f t="shared" si="13"/>
        <v>1.2850015420489471</v>
      </c>
      <c r="AB28" s="178">
        <f t="shared" si="9"/>
        <v>2.424793103793812</v>
      </c>
      <c r="AC28" s="178">
        <f t="shared" si="9"/>
        <v>5.0081192310019027</v>
      </c>
    </row>
    <row r="29" spans="1:29">
      <c r="A29" s="175">
        <f>WILD_CHUM_DATA!A34</f>
        <v>1994</v>
      </c>
      <c r="B29" s="176">
        <f>WILD_CHUM_DATA!O34</f>
        <v>227404.0588235294</v>
      </c>
      <c r="C29" s="176">
        <f t="shared" si="1"/>
        <v>158498.0588235294</v>
      </c>
      <c r="D29" s="176">
        <f t="shared" si="5"/>
        <v>169119.5588235294</v>
      </c>
      <c r="E29" s="176">
        <f t="shared" si="7"/>
        <v>169508.39215686274</v>
      </c>
      <c r="F29" s="176">
        <f t="shared" si="8"/>
        <v>230034.0588235294</v>
      </c>
      <c r="G29" s="176">
        <f t="shared" si="10"/>
        <v>321434.25882352941</v>
      </c>
      <c r="H29" s="176">
        <f t="shared" si="14"/>
        <v>865070.44117647072</v>
      </c>
      <c r="I29" s="166"/>
      <c r="J29" s="176">
        <f t="shared" si="2"/>
        <v>68906</v>
      </c>
      <c r="K29" s="176">
        <f t="shared" si="2"/>
        <v>58284.5</v>
      </c>
      <c r="L29" s="176">
        <f t="shared" si="2"/>
        <v>57895.666666666657</v>
      </c>
      <c r="M29" s="176">
        <f t="shared" si="2"/>
        <v>-2630</v>
      </c>
      <c r="N29" s="176">
        <f t="shared" si="2"/>
        <v>-94030.200000000012</v>
      </c>
      <c r="O29" s="176">
        <f t="shared" si="2"/>
        <v>-637666.38235294132</v>
      </c>
      <c r="Q29" s="177">
        <f t="shared" si="3"/>
        <v>0.30301130224536837</v>
      </c>
      <c r="R29" s="177">
        <f t="shared" si="3"/>
        <v>0.25630369264969921</v>
      </c>
      <c r="S29" s="177">
        <f t="shared" si="3"/>
        <v>0.25459381405146764</v>
      </c>
      <c r="T29" s="177">
        <f t="shared" si="3"/>
        <v>-1.1565316879594214E-2</v>
      </c>
      <c r="U29" s="177">
        <f t="shared" si="3"/>
        <v>-0.41349393887894292</v>
      </c>
      <c r="V29" s="177">
        <f t="shared" si="3"/>
        <v>-2.8041117016639734</v>
      </c>
      <c r="W29" s="175">
        <f t="shared" si="0"/>
        <v>1994</v>
      </c>
      <c r="X29" s="178">
        <f t="shared" si="4"/>
        <v>0.30301130224536837</v>
      </c>
      <c r="Y29" s="178">
        <f t="shared" si="11"/>
        <v>0.25630369264969921</v>
      </c>
      <c r="Z29" s="178">
        <f t="shared" si="12"/>
        <v>0.25459381405146764</v>
      </c>
      <c r="AA29" s="178">
        <f t="shared" si="13"/>
        <v>1.1565316879594214E-2</v>
      </c>
      <c r="AB29" s="178">
        <f t="shared" si="9"/>
        <v>0.41349393887894292</v>
      </c>
      <c r="AC29" s="178">
        <f t="shared" si="9"/>
        <v>2.8041117016639734</v>
      </c>
    </row>
    <row r="30" spans="1:29">
      <c r="A30" s="175">
        <f>WILD_CHUM_DATA!A35</f>
        <v>1995</v>
      </c>
      <c r="B30" s="176">
        <f>WILD_CHUM_DATA!O35</f>
        <v>216799.0588235294</v>
      </c>
      <c r="C30" s="176">
        <f t="shared" si="1"/>
        <v>227404.0588235294</v>
      </c>
      <c r="D30" s="176">
        <f t="shared" si="5"/>
        <v>192951.0588235294</v>
      </c>
      <c r="E30" s="176">
        <f t="shared" si="7"/>
        <v>188547.72549019606</v>
      </c>
      <c r="F30" s="176">
        <f t="shared" si="8"/>
        <v>183982.3088235294</v>
      </c>
      <c r="G30" s="176">
        <f t="shared" si="10"/>
        <v>229508.0588235294</v>
      </c>
      <c r="H30" s="176">
        <f t="shared" si="14"/>
        <v>768132.34705882368</v>
      </c>
      <c r="I30" s="166"/>
      <c r="J30" s="176">
        <f t="shared" si="2"/>
        <v>-10605</v>
      </c>
      <c r="K30" s="176">
        <f t="shared" si="2"/>
        <v>23848</v>
      </c>
      <c r="L30" s="176">
        <f t="shared" si="2"/>
        <v>28251.333333333343</v>
      </c>
      <c r="M30" s="176">
        <f t="shared" si="2"/>
        <v>32816.75</v>
      </c>
      <c r="N30" s="176">
        <f t="shared" si="2"/>
        <v>-12709</v>
      </c>
      <c r="O30" s="176">
        <f t="shared" si="2"/>
        <v>-551333.28823529428</v>
      </c>
      <c r="Q30" s="177">
        <f t="shared" si="3"/>
        <v>-4.8916264016774548E-2</v>
      </c>
      <c r="R30" s="177">
        <f t="shared" si="3"/>
        <v>0.1100004775362602</v>
      </c>
      <c r="S30" s="177">
        <f t="shared" si="3"/>
        <v>0.13031114381510958</v>
      </c>
      <c r="T30" s="177">
        <f t="shared" si="3"/>
        <v>0.15136943019071061</v>
      </c>
      <c r="U30" s="177">
        <f t="shared" si="3"/>
        <v>-5.8621103195585833E-2</v>
      </c>
      <c r="V30" s="177">
        <f t="shared" si="3"/>
        <v>-2.5430612624756357</v>
      </c>
      <c r="W30" s="175">
        <f t="shared" si="0"/>
        <v>1995</v>
      </c>
      <c r="X30" s="178">
        <f t="shared" si="4"/>
        <v>4.8916264016774548E-2</v>
      </c>
      <c r="Y30" s="178">
        <f t="shared" si="11"/>
        <v>0.1100004775362602</v>
      </c>
      <c r="Z30" s="178">
        <f t="shared" si="12"/>
        <v>0.13031114381510958</v>
      </c>
      <c r="AA30" s="178">
        <f t="shared" si="13"/>
        <v>0.15136943019071061</v>
      </c>
      <c r="AB30" s="178">
        <f t="shared" si="9"/>
        <v>5.8621103195585833E-2</v>
      </c>
      <c r="AC30" s="178">
        <f t="shared" si="9"/>
        <v>2.5430612624756357</v>
      </c>
    </row>
    <row r="31" spans="1:29">
      <c r="A31" s="175">
        <f>WILD_CHUM_DATA!A36</f>
        <v>1996</v>
      </c>
      <c r="B31" s="176">
        <f>WILD_CHUM_DATA!O36</f>
        <v>221625.17647058822</v>
      </c>
      <c r="C31" s="176">
        <f t="shared" si="1"/>
        <v>216799.0588235294</v>
      </c>
      <c r="D31" s="176">
        <f t="shared" si="5"/>
        <v>222101.5588235294</v>
      </c>
      <c r="E31" s="176">
        <f t="shared" si="7"/>
        <v>200900.39215686274</v>
      </c>
      <c r="F31" s="176">
        <f t="shared" si="8"/>
        <v>195610.5588235294</v>
      </c>
      <c r="G31" s="176">
        <f t="shared" si="10"/>
        <v>190545.6588235294</v>
      </c>
      <c r="H31" s="176">
        <f t="shared" si="14"/>
        <v>659603.25294117664</v>
      </c>
      <c r="I31" s="166"/>
      <c r="J31" s="176">
        <f t="shared" si="2"/>
        <v>4826.1176470588252</v>
      </c>
      <c r="K31" s="176">
        <f t="shared" si="2"/>
        <v>-476.38235294117476</v>
      </c>
      <c r="L31" s="176">
        <f t="shared" si="2"/>
        <v>20724.784313725482</v>
      </c>
      <c r="M31" s="176">
        <f t="shared" si="2"/>
        <v>26014.617647058825</v>
      </c>
      <c r="N31" s="176">
        <f t="shared" si="2"/>
        <v>31079.517647058819</v>
      </c>
      <c r="O31" s="176">
        <f t="shared" si="2"/>
        <v>-437978.07647058845</v>
      </c>
      <c r="Q31" s="177">
        <f t="shared" si="3"/>
        <v>2.17760352136676E-2</v>
      </c>
      <c r="R31" s="177">
        <f t="shared" si="3"/>
        <v>-2.1494956508445024E-3</v>
      </c>
      <c r="S31" s="177">
        <f t="shared" si="3"/>
        <v>9.3512770722941119E-2</v>
      </c>
      <c r="T31" s="177">
        <f t="shared" si="3"/>
        <v>0.11738114803266141</v>
      </c>
      <c r="U31" s="177">
        <f t="shared" si="3"/>
        <v>0.14023459853255149</v>
      </c>
      <c r="V31" s="177">
        <f t="shared" si="3"/>
        <v>-1.9762108414100341</v>
      </c>
      <c r="W31" s="175">
        <f t="shared" si="0"/>
        <v>1996</v>
      </c>
      <c r="X31" s="178">
        <f t="shared" si="4"/>
        <v>2.17760352136676E-2</v>
      </c>
      <c r="Y31" s="178">
        <f t="shared" si="11"/>
        <v>2.1494956508445024E-3</v>
      </c>
      <c r="Z31" s="178">
        <f t="shared" si="12"/>
        <v>9.3512770722941119E-2</v>
      </c>
      <c r="AA31" s="178">
        <f t="shared" si="13"/>
        <v>0.11738114803266141</v>
      </c>
      <c r="AB31" s="178">
        <f t="shared" si="9"/>
        <v>0.14023459853255149</v>
      </c>
      <c r="AC31" s="178">
        <f t="shared" si="9"/>
        <v>1.9762108414100341</v>
      </c>
    </row>
    <row r="32" spans="1:29">
      <c r="A32" s="175">
        <f>WILD_CHUM_DATA!A37</f>
        <v>1997</v>
      </c>
      <c r="B32" s="176">
        <f>WILD_CHUM_DATA!O37</f>
        <v>336103.17647058825</v>
      </c>
      <c r="C32" s="176">
        <f t="shared" si="1"/>
        <v>221625.17647058822</v>
      </c>
      <c r="D32" s="176">
        <f t="shared" si="5"/>
        <v>219212.1176470588</v>
      </c>
      <c r="E32" s="176">
        <f t="shared" si="7"/>
        <v>221942.76470588232</v>
      </c>
      <c r="F32" s="176">
        <f t="shared" si="8"/>
        <v>206081.5882352941</v>
      </c>
      <c r="G32" s="176">
        <f t="shared" si="10"/>
        <v>200813.48235294115</v>
      </c>
      <c r="H32" s="176">
        <f t="shared" si="14"/>
        <v>515529.17058823537</v>
      </c>
      <c r="I32" s="166"/>
      <c r="J32" s="176">
        <f t="shared" si="2"/>
        <v>114478.00000000003</v>
      </c>
      <c r="K32" s="176">
        <f t="shared" si="2"/>
        <v>116891.05882352946</v>
      </c>
      <c r="L32" s="176">
        <f t="shared" si="2"/>
        <v>114160.41176470593</v>
      </c>
      <c r="M32" s="176">
        <f t="shared" si="2"/>
        <v>130021.58823529416</v>
      </c>
      <c r="N32" s="176">
        <f t="shared" si="2"/>
        <v>135289.6941176471</v>
      </c>
      <c r="O32" s="176">
        <f t="shared" si="2"/>
        <v>-179425.99411764712</v>
      </c>
      <c r="Q32" s="177">
        <f t="shared" si="3"/>
        <v>0.34060374317830283</v>
      </c>
      <c r="R32" s="177">
        <f t="shared" si="3"/>
        <v>0.34778326123245779</v>
      </c>
      <c r="S32" s="177">
        <f t="shared" si="3"/>
        <v>0.33965883025415528</v>
      </c>
      <c r="T32" s="177">
        <f t="shared" si="3"/>
        <v>0.3868502214131026</v>
      </c>
      <c r="U32" s="177">
        <f t="shared" si="3"/>
        <v>0.40252429488563923</v>
      </c>
      <c r="V32" s="177">
        <f t="shared" si="3"/>
        <v>-0.53384200649870484</v>
      </c>
      <c r="W32" s="175">
        <f t="shared" si="0"/>
        <v>1997</v>
      </c>
      <c r="X32" s="178">
        <f t="shared" si="4"/>
        <v>0.34060374317830283</v>
      </c>
      <c r="Y32" s="178">
        <f t="shared" si="11"/>
        <v>0.34778326123245779</v>
      </c>
      <c r="Z32" s="178">
        <f t="shared" si="12"/>
        <v>0.33965883025415528</v>
      </c>
      <c r="AA32" s="178">
        <f t="shared" si="13"/>
        <v>0.3868502214131026</v>
      </c>
      <c r="AB32" s="178">
        <f t="shared" si="9"/>
        <v>0.40252429488563923</v>
      </c>
      <c r="AC32" s="178">
        <f t="shared" si="9"/>
        <v>0.53384200649870484</v>
      </c>
    </row>
    <row r="33" spans="1:29">
      <c r="A33" s="175">
        <f>WILD_CHUM_DATA!A38</f>
        <v>1998</v>
      </c>
      <c r="B33" s="176">
        <f>WILD_CHUM_DATA!O38</f>
        <v>296630.17647058825</v>
      </c>
      <c r="C33" s="176">
        <f t="shared" si="1"/>
        <v>336103.17647058825</v>
      </c>
      <c r="D33" s="176">
        <f t="shared" si="5"/>
        <v>278864.17647058825</v>
      </c>
      <c r="E33" s="176">
        <f t="shared" si="7"/>
        <v>258175.80392156859</v>
      </c>
      <c r="F33" s="176">
        <f t="shared" si="8"/>
        <v>250482.8676470588</v>
      </c>
      <c r="G33" s="176">
        <f t="shared" si="10"/>
        <v>232085.9058823529</v>
      </c>
      <c r="H33" s="176">
        <f t="shared" si="14"/>
        <v>387454.4823529413</v>
      </c>
      <c r="I33" s="166"/>
      <c r="J33" s="176">
        <f t="shared" si="2"/>
        <v>-39473</v>
      </c>
      <c r="K33" s="176">
        <f t="shared" si="2"/>
        <v>17766</v>
      </c>
      <c r="L33" s="176">
        <f t="shared" si="2"/>
        <v>38454.372549019667</v>
      </c>
      <c r="M33" s="176">
        <f t="shared" si="2"/>
        <v>46147.308823529456</v>
      </c>
      <c r="N33" s="176">
        <f t="shared" si="2"/>
        <v>64544.270588235348</v>
      </c>
      <c r="O33" s="176">
        <f t="shared" si="2"/>
        <v>-90824.305882353045</v>
      </c>
      <c r="Q33" s="177">
        <f t="shared" si="3"/>
        <v>-0.1330714240528858</v>
      </c>
      <c r="R33" s="177">
        <f t="shared" si="3"/>
        <v>5.9892760107505619E-2</v>
      </c>
      <c r="S33" s="177">
        <f t="shared" si="3"/>
        <v>0.12963742599139277</v>
      </c>
      <c r="T33" s="177">
        <f t="shared" si="3"/>
        <v>0.15557186181327406</v>
      </c>
      <c r="U33" s="177">
        <f t="shared" si="3"/>
        <v>0.21759172096448892</v>
      </c>
      <c r="V33" s="177">
        <f t="shared" si="3"/>
        <v>-0.30618700687506939</v>
      </c>
      <c r="W33" s="175">
        <f t="shared" si="0"/>
        <v>1998</v>
      </c>
      <c r="X33" s="178">
        <f t="shared" si="4"/>
        <v>0.1330714240528858</v>
      </c>
      <c r="Y33" s="178">
        <f t="shared" si="11"/>
        <v>5.9892760107505619E-2</v>
      </c>
      <c r="Z33" s="178">
        <f t="shared" si="12"/>
        <v>0.12963742599139277</v>
      </c>
      <c r="AA33" s="178">
        <f t="shared" si="13"/>
        <v>0.15557186181327406</v>
      </c>
      <c r="AB33" s="178">
        <f t="shared" si="9"/>
        <v>0.21759172096448892</v>
      </c>
      <c r="AC33" s="178">
        <f t="shared" si="9"/>
        <v>0.30618700687506939</v>
      </c>
    </row>
    <row r="34" spans="1:29">
      <c r="A34" s="175">
        <f>WILD_CHUM_DATA!A39</f>
        <v>1999</v>
      </c>
      <c r="B34" s="176">
        <f>WILD_CHUM_DATA!O39</f>
        <v>340699.17647058819</v>
      </c>
      <c r="C34" s="176">
        <f t="shared" si="1"/>
        <v>296630.17647058825</v>
      </c>
      <c r="D34" s="176">
        <f t="shared" si="5"/>
        <v>316366.67647058825</v>
      </c>
      <c r="E34" s="176">
        <f t="shared" si="7"/>
        <v>284786.17647058825</v>
      </c>
      <c r="F34" s="176">
        <f t="shared" si="8"/>
        <v>267789.3970588235</v>
      </c>
      <c r="G34" s="176">
        <f t="shared" si="10"/>
        <v>259712.32941176469</v>
      </c>
      <c r="H34" s="176">
        <f t="shared" si="14"/>
        <v>290573.29411764711</v>
      </c>
      <c r="I34" s="166"/>
      <c r="J34" s="176">
        <f t="shared" si="2"/>
        <v>44068.999999999942</v>
      </c>
      <c r="K34" s="176">
        <f t="shared" si="2"/>
        <v>24332.499999999942</v>
      </c>
      <c r="L34" s="176">
        <f t="shared" si="2"/>
        <v>55912.999999999942</v>
      </c>
      <c r="M34" s="176">
        <f t="shared" si="2"/>
        <v>72909.779411764699</v>
      </c>
      <c r="N34" s="176">
        <f t="shared" si="2"/>
        <v>80986.847058823507</v>
      </c>
      <c r="O34" s="176">
        <f t="shared" si="2"/>
        <v>50125.882352941087</v>
      </c>
      <c r="Q34" s="177">
        <f t="shared" si="3"/>
        <v>0.1293487130098899</v>
      </c>
      <c r="R34" s="177">
        <f t="shared" si="3"/>
        <v>7.1419309703264031E-2</v>
      </c>
      <c r="S34" s="177">
        <f t="shared" si="3"/>
        <v>0.16411251878921634</v>
      </c>
      <c r="T34" s="177">
        <f t="shared" si="3"/>
        <v>0.21400045684600838</v>
      </c>
      <c r="U34" s="177">
        <f t="shared" si="3"/>
        <v>0.23770778637562959</v>
      </c>
      <c r="V34" s="177">
        <f t="shared" si="3"/>
        <v>0.14712651457573553</v>
      </c>
      <c r="W34" s="175">
        <f t="shared" si="0"/>
        <v>1999</v>
      </c>
      <c r="X34" s="178">
        <f t="shared" si="4"/>
        <v>0.1293487130098899</v>
      </c>
      <c r="Y34" s="178">
        <f t="shared" si="11"/>
        <v>7.1419309703264031E-2</v>
      </c>
      <c r="Z34" s="178">
        <f t="shared" si="12"/>
        <v>0.16411251878921634</v>
      </c>
      <c r="AA34" s="178">
        <f t="shared" si="13"/>
        <v>0.21400045684600838</v>
      </c>
      <c r="AB34" s="178">
        <f t="shared" si="9"/>
        <v>0.23770778637562959</v>
      </c>
      <c r="AC34" s="178">
        <f t="shared" si="9"/>
        <v>0.14712651457573553</v>
      </c>
    </row>
    <row r="35" spans="1:29">
      <c r="A35" s="175">
        <f>WILD_CHUM_DATA!A40</f>
        <v>2000</v>
      </c>
      <c r="B35" s="176">
        <f>WILD_CHUM_DATA!O40</f>
        <v>463210.17647058825</v>
      </c>
      <c r="C35" s="176">
        <f t="shared" si="1"/>
        <v>340699.17647058819</v>
      </c>
      <c r="D35" s="176">
        <f t="shared" si="5"/>
        <v>318664.67647058819</v>
      </c>
      <c r="E35" s="176">
        <f t="shared" si="7"/>
        <v>324477.50980392157</v>
      </c>
      <c r="F35" s="176">
        <f t="shared" si="8"/>
        <v>298764.42647058825</v>
      </c>
      <c r="G35" s="176">
        <f t="shared" si="10"/>
        <v>282371.35294117645</v>
      </c>
      <c r="H35" s="176">
        <f t="shared" si="14"/>
        <v>255939.70588235295</v>
      </c>
      <c r="I35" s="166"/>
      <c r="J35" s="176">
        <f t="shared" si="2"/>
        <v>122511.00000000006</v>
      </c>
      <c r="K35" s="176">
        <f t="shared" si="2"/>
        <v>144545.50000000006</v>
      </c>
      <c r="L35" s="176">
        <f t="shared" si="2"/>
        <v>138732.66666666669</v>
      </c>
      <c r="M35" s="176">
        <f t="shared" si="2"/>
        <v>164445.75</v>
      </c>
      <c r="N35" s="176">
        <f t="shared" si="2"/>
        <v>180838.82352941181</v>
      </c>
      <c r="O35" s="176">
        <f t="shared" si="2"/>
        <v>207270.4705882353</v>
      </c>
      <c r="Q35" s="177">
        <f t="shared" si="3"/>
        <v>0.26448253130677701</v>
      </c>
      <c r="R35" s="177">
        <f t="shared" si="3"/>
        <v>0.31205165029265725</v>
      </c>
      <c r="S35" s="177">
        <f t="shared" si="3"/>
        <v>0.29950263123261839</v>
      </c>
      <c r="T35" s="177">
        <f t="shared" si="3"/>
        <v>0.35501324960731201</v>
      </c>
      <c r="U35" s="177">
        <f t="shared" si="3"/>
        <v>0.3904033907616325</v>
      </c>
      <c r="V35" s="177">
        <f t="shared" si="3"/>
        <v>0.4474652784347799</v>
      </c>
      <c r="W35" s="175">
        <f t="shared" si="0"/>
        <v>2000</v>
      </c>
      <c r="X35" s="178">
        <f t="shared" si="4"/>
        <v>0.26448253130677701</v>
      </c>
      <c r="Y35" s="178">
        <f t="shared" si="11"/>
        <v>0.31205165029265725</v>
      </c>
      <c r="Z35" s="178">
        <f t="shared" si="12"/>
        <v>0.29950263123261839</v>
      </c>
      <c r="AA35" s="178">
        <f t="shared" si="13"/>
        <v>0.35501324960731201</v>
      </c>
      <c r="AB35" s="178">
        <f t="shared" si="9"/>
        <v>0.3904033907616325</v>
      </c>
      <c r="AC35" s="178">
        <f t="shared" si="9"/>
        <v>0.4474652784347799</v>
      </c>
    </row>
    <row r="36" spans="1:29">
      <c r="A36" s="175">
        <f>WILD_CHUM_DATA!A41</f>
        <v>2001</v>
      </c>
      <c r="B36" s="176">
        <f>WILD_CHUM_DATA!O41</f>
        <v>456957.17647058825</v>
      </c>
      <c r="C36" s="176">
        <f t="shared" si="1"/>
        <v>463210.17647058825</v>
      </c>
      <c r="D36" s="176">
        <f t="shared" si="5"/>
        <v>401954.67647058819</v>
      </c>
      <c r="E36" s="176">
        <f t="shared" si="7"/>
        <v>366846.50980392151</v>
      </c>
      <c r="F36" s="176">
        <f t="shared" si="8"/>
        <v>359160.67647058825</v>
      </c>
      <c r="G36" s="176">
        <f t="shared" si="10"/>
        <v>331653.57647058822</v>
      </c>
      <c r="H36" s="176">
        <f t="shared" si="14"/>
        <v>261099.61764705885</v>
      </c>
      <c r="I36" s="166"/>
      <c r="J36" s="176">
        <f t="shared" si="2"/>
        <v>-6253</v>
      </c>
      <c r="K36" s="176">
        <f t="shared" si="2"/>
        <v>55002.500000000058</v>
      </c>
      <c r="L36" s="176">
        <f t="shared" si="2"/>
        <v>90110.666666666744</v>
      </c>
      <c r="M36" s="176">
        <f t="shared" si="2"/>
        <v>97796.5</v>
      </c>
      <c r="N36" s="176">
        <f t="shared" si="2"/>
        <v>125303.60000000003</v>
      </c>
      <c r="O36" s="176">
        <f t="shared" si="2"/>
        <v>195857.5588235294</v>
      </c>
      <c r="Q36" s="177">
        <f t="shared" si="3"/>
        <v>-1.3683995617043275E-2</v>
      </c>
      <c r="R36" s="177">
        <f t="shared" si="3"/>
        <v>0.12036685893593851</v>
      </c>
      <c r="S36" s="177">
        <f t="shared" si="3"/>
        <v>0.1971971801879922</v>
      </c>
      <c r="T36" s="177">
        <f t="shared" si="3"/>
        <v>0.21401677232723054</v>
      </c>
      <c r="U36" s="177">
        <f t="shared" si="3"/>
        <v>0.27421300387010145</v>
      </c>
      <c r="V36" s="177">
        <f t="shared" si="3"/>
        <v>0.42861250223988034</v>
      </c>
      <c r="W36" s="175">
        <f t="shared" si="0"/>
        <v>2001</v>
      </c>
      <c r="X36" s="178">
        <f t="shared" si="4"/>
        <v>1.3683995617043275E-2</v>
      </c>
      <c r="Y36" s="178">
        <f t="shared" si="11"/>
        <v>0.12036685893593851</v>
      </c>
      <c r="Z36" s="178">
        <f t="shared" si="12"/>
        <v>0.1971971801879922</v>
      </c>
      <c r="AA36" s="178">
        <f t="shared" si="13"/>
        <v>0.21401677232723054</v>
      </c>
      <c r="AB36" s="178">
        <f t="shared" si="9"/>
        <v>0.27421300387010145</v>
      </c>
      <c r="AC36" s="178">
        <f t="shared" si="9"/>
        <v>0.42861250223988034</v>
      </c>
    </row>
    <row r="37" spans="1:29">
      <c r="A37" s="175">
        <f>WILD_CHUM_DATA!A42</f>
        <v>2002</v>
      </c>
      <c r="B37" s="176">
        <f>WILD_CHUM_DATA!O42</f>
        <v>180304</v>
      </c>
      <c r="C37" s="176">
        <f t="shared" si="1"/>
        <v>456957.17647058825</v>
      </c>
      <c r="D37" s="176">
        <f t="shared" si="5"/>
        <v>460083.67647058825</v>
      </c>
      <c r="E37" s="176">
        <f t="shared" si="7"/>
        <v>420288.84313725488</v>
      </c>
      <c r="F37" s="176">
        <f t="shared" si="8"/>
        <v>389374.17647058819</v>
      </c>
      <c r="G37" s="176">
        <f t="shared" si="10"/>
        <v>378719.97647058824</v>
      </c>
      <c r="H37" s="176">
        <f t="shared" si="14"/>
        <v>289766.72941176471</v>
      </c>
      <c r="I37" s="166"/>
      <c r="J37" s="176">
        <f t="shared" si="2"/>
        <v>-276653.17647058825</v>
      </c>
      <c r="K37" s="176">
        <f t="shared" si="2"/>
        <v>-279779.67647058825</v>
      </c>
      <c r="L37" s="176">
        <f t="shared" si="2"/>
        <v>-239984.84313725488</v>
      </c>
      <c r="M37" s="176">
        <f t="shared" si="2"/>
        <v>-209070.17647058819</v>
      </c>
      <c r="N37" s="176">
        <f t="shared" si="2"/>
        <v>-198415.97647058824</v>
      </c>
      <c r="O37" s="176">
        <f t="shared" si="2"/>
        <v>-109462.72941176471</v>
      </c>
      <c r="Q37" s="177">
        <f t="shared" si="3"/>
        <v>-1.5343707098599491</v>
      </c>
      <c r="R37" s="177">
        <f t="shared" si="3"/>
        <v>-1.5517108687027923</v>
      </c>
      <c r="S37" s="177">
        <f t="shared" si="3"/>
        <v>-1.3310012153765578</v>
      </c>
      <c r="T37" s="177">
        <f t="shared" si="3"/>
        <v>-1.1595426417083825</v>
      </c>
      <c r="U37" s="177">
        <f t="shared" si="3"/>
        <v>-1.1004524384960304</v>
      </c>
      <c r="V37" s="177">
        <f t="shared" si="3"/>
        <v>-0.60710094846351004</v>
      </c>
      <c r="W37" s="175">
        <f t="shared" si="0"/>
        <v>2002</v>
      </c>
      <c r="X37" s="178">
        <f t="shared" si="4"/>
        <v>1.5343707098599491</v>
      </c>
      <c r="Y37" s="178">
        <f t="shared" si="11"/>
        <v>1.5517108687027923</v>
      </c>
      <c r="Z37" s="178">
        <f t="shared" si="12"/>
        <v>1.3310012153765578</v>
      </c>
      <c r="AA37" s="178">
        <f t="shared" si="13"/>
        <v>1.1595426417083825</v>
      </c>
      <c r="AB37" s="178">
        <f t="shared" si="9"/>
        <v>1.1004524384960304</v>
      </c>
      <c r="AC37" s="178">
        <f t="shared" si="9"/>
        <v>0.60710094846351004</v>
      </c>
    </row>
    <row r="38" spans="1:29">
      <c r="A38" s="175">
        <f>WILD_CHUM_DATA!A43</f>
        <v>2003</v>
      </c>
      <c r="B38" s="176">
        <f>WILD_CHUM_DATA!O43</f>
        <v>320755</v>
      </c>
      <c r="C38" s="176">
        <f t="shared" si="1"/>
        <v>180304</v>
      </c>
      <c r="D38" s="176">
        <f t="shared" si="5"/>
        <v>318630.5882352941</v>
      </c>
      <c r="E38" s="176">
        <f t="shared" si="7"/>
        <v>366823.78431372548</v>
      </c>
      <c r="F38" s="176">
        <f t="shared" si="8"/>
        <v>360292.63235294115</v>
      </c>
      <c r="G38" s="176">
        <f t="shared" si="10"/>
        <v>347560.14117647056</v>
      </c>
      <c r="H38" s="176">
        <f t="shared" si="14"/>
        <v>289823.02352941176</v>
      </c>
      <c r="I38" s="166"/>
      <c r="J38" s="176">
        <f t="shared" si="2"/>
        <v>140451</v>
      </c>
      <c r="K38" s="176">
        <f t="shared" si="2"/>
        <v>2124.4117647059029</v>
      </c>
      <c r="L38" s="176">
        <f t="shared" si="2"/>
        <v>-46068.784313725482</v>
      </c>
      <c r="M38" s="176">
        <f t="shared" si="2"/>
        <v>-39537.632352941146</v>
      </c>
      <c r="N38" s="176">
        <f t="shared" si="2"/>
        <v>-26805.141176470555</v>
      </c>
      <c r="O38" s="176">
        <f t="shared" si="2"/>
        <v>30931.976470588241</v>
      </c>
      <c r="Q38" s="177">
        <f t="shared" si="3"/>
        <v>0.43787626069741703</v>
      </c>
      <c r="R38" s="177">
        <f t="shared" si="3"/>
        <v>6.6231602460005388E-3</v>
      </c>
      <c r="S38" s="177">
        <f t="shared" si="3"/>
        <v>-0.14362608319036488</v>
      </c>
      <c r="T38" s="177">
        <f t="shared" si="3"/>
        <v>-0.12326427445539788</v>
      </c>
      <c r="U38" s="177">
        <f t="shared" si="3"/>
        <v>-8.3568895812911895E-2</v>
      </c>
      <c r="V38" s="177">
        <f t="shared" si="3"/>
        <v>9.6434900377510069E-2</v>
      </c>
      <c r="W38" s="175">
        <f t="shared" si="0"/>
        <v>2003</v>
      </c>
      <c r="X38" s="178">
        <f t="shared" si="4"/>
        <v>0.43787626069741703</v>
      </c>
      <c r="Y38" s="178">
        <f t="shared" si="11"/>
        <v>6.6231602460005388E-3</v>
      </c>
      <c r="Z38" s="178">
        <f t="shared" si="12"/>
        <v>0.14362608319036488</v>
      </c>
      <c r="AA38" s="178">
        <f t="shared" si="13"/>
        <v>0.12326427445539788</v>
      </c>
      <c r="AB38" s="178">
        <f t="shared" si="9"/>
        <v>8.3568895812911895E-2</v>
      </c>
      <c r="AC38" s="178">
        <f t="shared" si="9"/>
        <v>9.6434900377510069E-2</v>
      </c>
    </row>
    <row r="39" spans="1:29">
      <c r="A39" s="175">
        <f>WILD_CHUM_DATA!A44</f>
        <v>2004</v>
      </c>
      <c r="B39" s="176">
        <f>WILD_CHUM_DATA!O44</f>
        <v>213848</v>
      </c>
      <c r="C39" s="176">
        <f t="shared" si="1"/>
        <v>320755</v>
      </c>
      <c r="D39" s="176">
        <f t="shared" si="5"/>
        <v>250529.5</v>
      </c>
      <c r="E39" s="176">
        <f t="shared" si="7"/>
        <v>319338.72549019608</v>
      </c>
      <c r="F39" s="176">
        <f t="shared" si="8"/>
        <v>355306.5882352941</v>
      </c>
      <c r="G39" s="176">
        <f t="shared" si="10"/>
        <v>352385.10588235292</v>
      </c>
      <c r="H39" s="176">
        <f t="shared" si="14"/>
        <v>306048.71764705883</v>
      </c>
      <c r="I39" s="166"/>
      <c r="J39" s="176">
        <f t="shared" si="2"/>
        <v>-106907</v>
      </c>
      <c r="K39" s="176">
        <f t="shared" si="2"/>
        <v>-36681.5</v>
      </c>
      <c r="L39" s="176">
        <f t="shared" si="2"/>
        <v>-105490.72549019608</v>
      </c>
      <c r="M39" s="176">
        <f t="shared" si="2"/>
        <v>-141458.5882352941</v>
      </c>
      <c r="N39" s="176">
        <f t="shared" si="2"/>
        <v>-138537.10588235292</v>
      </c>
      <c r="O39" s="176">
        <f t="shared" si="2"/>
        <v>-92200.717647058831</v>
      </c>
      <c r="Q39" s="177">
        <f t="shared" si="3"/>
        <v>-0.49992050428341628</v>
      </c>
      <c r="R39" s="177">
        <f t="shared" si="3"/>
        <v>-0.17153071340391307</v>
      </c>
      <c r="S39" s="177">
        <f t="shared" si="3"/>
        <v>-0.49329769504599569</v>
      </c>
      <c r="T39" s="177">
        <f t="shared" si="3"/>
        <v>-0.66149128462877416</v>
      </c>
      <c r="U39" s="177">
        <f t="shared" si="3"/>
        <v>-0.64782979444443212</v>
      </c>
      <c r="V39" s="177">
        <f t="shared" si="3"/>
        <v>-0.43115071287577544</v>
      </c>
      <c r="W39" s="175">
        <f t="shared" si="0"/>
        <v>2004</v>
      </c>
      <c r="X39" s="178">
        <f t="shared" si="4"/>
        <v>0.49992050428341628</v>
      </c>
      <c r="Y39" s="178">
        <f t="shared" si="11"/>
        <v>0.17153071340391307</v>
      </c>
      <c r="Z39" s="178">
        <f t="shared" si="12"/>
        <v>0.49329769504599569</v>
      </c>
      <c r="AA39" s="178">
        <f t="shared" si="13"/>
        <v>0.66149128462877416</v>
      </c>
      <c r="AB39" s="178">
        <f t="shared" si="9"/>
        <v>0.64782979444443212</v>
      </c>
      <c r="AC39" s="178">
        <f t="shared" si="9"/>
        <v>0.43115071287577544</v>
      </c>
    </row>
    <row r="40" spans="1:29">
      <c r="A40" s="175">
        <f>WILD_CHUM_DATA!A45</f>
        <v>2005</v>
      </c>
      <c r="B40" s="176">
        <f>WILD_CHUM_DATA!O45</f>
        <v>66384</v>
      </c>
      <c r="C40" s="176">
        <f t="shared" si="1"/>
        <v>213848</v>
      </c>
      <c r="D40" s="176">
        <f t="shared" si="5"/>
        <v>267301.5</v>
      </c>
      <c r="E40" s="176">
        <f t="shared" si="7"/>
        <v>238302.33333333334</v>
      </c>
      <c r="F40" s="176">
        <f t="shared" si="8"/>
        <v>292966.04411764705</v>
      </c>
      <c r="G40" s="176">
        <f t="shared" si="10"/>
        <v>327014.87058823527</v>
      </c>
      <c r="H40" s="176">
        <f t="shared" si="14"/>
        <v>304693.11176470586</v>
      </c>
      <c r="I40" s="166"/>
      <c r="J40" s="176">
        <f t="shared" si="2"/>
        <v>-147464</v>
      </c>
      <c r="K40" s="176">
        <f t="shared" si="2"/>
        <v>-200917.5</v>
      </c>
      <c r="L40" s="176">
        <f t="shared" si="2"/>
        <v>-171918.33333333334</v>
      </c>
      <c r="M40" s="176">
        <f t="shared" si="2"/>
        <v>-226582.04411764705</v>
      </c>
      <c r="N40" s="176">
        <f t="shared" si="2"/>
        <v>-260630.87058823527</v>
      </c>
      <c r="O40" s="176">
        <f t="shared" si="2"/>
        <v>-238309.11176470586</v>
      </c>
      <c r="Q40" s="177">
        <f t="shared" si="3"/>
        <v>-2.2213786454567366</v>
      </c>
      <c r="R40" s="177">
        <f t="shared" si="3"/>
        <v>-3.0265952639190168</v>
      </c>
      <c r="S40" s="177">
        <f t="shared" si="3"/>
        <v>-2.5897555635896201</v>
      </c>
      <c r="T40" s="177">
        <f t="shared" si="3"/>
        <v>-3.4132026409623863</v>
      </c>
      <c r="U40" s="177">
        <f t="shared" si="3"/>
        <v>-3.9261097642238383</v>
      </c>
      <c r="V40" s="177">
        <f t="shared" si="3"/>
        <v>-3.5898576730041252</v>
      </c>
      <c r="W40" s="175">
        <f t="shared" si="0"/>
        <v>2005</v>
      </c>
      <c r="X40" s="178">
        <f t="shared" si="4"/>
        <v>2.2213786454567366</v>
      </c>
      <c r="Y40" s="178">
        <f t="shared" si="11"/>
        <v>3.0265952639190168</v>
      </c>
      <c r="Z40" s="178">
        <f t="shared" si="12"/>
        <v>2.5897555635896201</v>
      </c>
      <c r="AA40" s="178">
        <f t="shared" si="13"/>
        <v>3.4132026409623863</v>
      </c>
      <c r="AB40" s="178">
        <f t="shared" si="9"/>
        <v>3.9261097642238383</v>
      </c>
      <c r="AC40" s="178">
        <f t="shared" si="9"/>
        <v>3.5898576730041252</v>
      </c>
    </row>
    <row r="41" spans="1:29">
      <c r="A41" s="175">
        <f>WILD_CHUM_DATA!A46</f>
        <v>2006</v>
      </c>
      <c r="B41" s="176">
        <f>WILD_CHUM_DATA!O46</f>
        <v>150464</v>
      </c>
      <c r="C41" s="176">
        <f t="shared" si="1"/>
        <v>66384</v>
      </c>
      <c r="D41" s="176">
        <f t="shared" si="5"/>
        <v>140116</v>
      </c>
      <c r="E41" s="176">
        <f t="shared" si="7"/>
        <v>200329</v>
      </c>
      <c r="F41" s="176">
        <f t="shared" si="8"/>
        <v>195322.75</v>
      </c>
      <c r="G41" s="176">
        <f t="shared" si="10"/>
        <v>247649.63529411764</v>
      </c>
      <c r="H41" s="176">
        <f t="shared" si="14"/>
        <v>289651.60588235297</v>
      </c>
      <c r="I41" s="166"/>
      <c r="J41" s="176">
        <f t="shared" si="2"/>
        <v>84080</v>
      </c>
      <c r="K41" s="176">
        <f t="shared" si="2"/>
        <v>10348</v>
      </c>
      <c r="L41" s="176">
        <f t="shared" si="2"/>
        <v>-49865</v>
      </c>
      <c r="M41" s="176">
        <f t="shared" si="2"/>
        <v>-44858.75</v>
      </c>
      <c r="N41" s="176">
        <f t="shared" si="2"/>
        <v>-97185.635294117645</v>
      </c>
      <c r="O41" s="176">
        <f t="shared" si="2"/>
        <v>-139187.60588235297</v>
      </c>
      <c r="Q41" s="177">
        <f t="shared" si="3"/>
        <v>0.55880476393024248</v>
      </c>
      <c r="R41" s="177">
        <f t="shared" si="3"/>
        <v>6.8773925988940873E-2</v>
      </c>
      <c r="S41" s="177">
        <f t="shared" si="3"/>
        <v>-0.33140817737133133</v>
      </c>
      <c r="T41" s="177">
        <f t="shared" si="3"/>
        <v>-0.29813609900042537</v>
      </c>
      <c r="U41" s="177">
        <f t="shared" si="3"/>
        <v>-0.64590623201641351</v>
      </c>
      <c r="V41" s="177">
        <f t="shared" si="3"/>
        <v>-0.9250558664022821</v>
      </c>
      <c r="W41" s="175">
        <f t="shared" si="0"/>
        <v>2006</v>
      </c>
      <c r="X41" s="178">
        <f t="shared" si="4"/>
        <v>0.55880476393024248</v>
      </c>
      <c r="Y41" s="178">
        <f t="shared" si="11"/>
        <v>6.8773925988940873E-2</v>
      </c>
      <c r="Z41" s="178">
        <f t="shared" si="12"/>
        <v>0.33140817737133133</v>
      </c>
      <c r="AA41" s="178">
        <f t="shared" si="13"/>
        <v>0.29813609900042537</v>
      </c>
      <c r="AB41" s="178">
        <f t="shared" si="9"/>
        <v>0.64590623201641351</v>
      </c>
      <c r="AC41" s="178">
        <f t="shared" si="9"/>
        <v>0.9250558664022821</v>
      </c>
    </row>
    <row r="42" spans="1:29">
      <c r="A42" s="175">
        <f>WILD_CHUM_DATA!A47</f>
        <v>2007</v>
      </c>
      <c r="B42" s="176">
        <f>WILD_CHUM_DATA!O47</f>
        <v>117002</v>
      </c>
      <c r="C42" s="176">
        <f t="shared" si="1"/>
        <v>150464</v>
      </c>
      <c r="D42" s="176">
        <f t="shared" si="5"/>
        <v>108424</v>
      </c>
      <c r="E42" s="176">
        <f t="shared" si="7"/>
        <v>143565.33333333334</v>
      </c>
      <c r="F42" s="176">
        <f t="shared" si="8"/>
        <v>187862.75</v>
      </c>
      <c r="G42" s="176">
        <f t="shared" si="10"/>
        <v>186351</v>
      </c>
      <c r="H42" s="176">
        <f t="shared" si="14"/>
        <v>282535.48823529412</v>
      </c>
      <c r="I42" s="166"/>
      <c r="J42" s="176">
        <f t="shared" si="2"/>
        <v>-33462</v>
      </c>
      <c r="K42" s="176">
        <f t="shared" si="2"/>
        <v>8578</v>
      </c>
      <c r="L42" s="176">
        <f t="shared" si="2"/>
        <v>-26563.333333333343</v>
      </c>
      <c r="M42" s="176">
        <f t="shared" si="2"/>
        <v>-70860.75</v>
      </c>
      <c r="N42" s="176">
        <f t="shared" si="2"/>
        <v>-69349</v>
      </c>
      <c r="O42" s="176">
        <f t="shared" si="2"/>
        <v>-165533.48823529412</v>
      </c>
      <c r="Q42" s="177">
        <f t="shared" si="3"/>
        <v>-0.28599511119468041</v>
      </c>
      <c r="R42" s="177">
        <f t="shared" si="3"/>
        <v>7.331498606861421E-2</v>
      </c>
      <c r="S42" s="177">
        <f t="shared" si="3"/>
        <v>-0.22703315612838534</v>
      </c>
      <c r="T42" s="177">
        <f t="shared" si="3"/>
        <v>-0.6056370831267841</v>
      </c>
      <c r="U42" s="177">
        <f t="shared" si="3"/>
        <v>-0.59271636382284065</v>
      </c>
      <c r="V42" s="177">
        <f t="shared" si="3"/>
        <v>-1.4147919542853467</v>
      </c>
      <c r="W42" s="175">
        <f t="shared" si="0"/>
        <v>2007</v>
      </c>
      <c r="X42" s="178">
        <f t="shared" si="4"/>
        <v>0.28599511119468041</v>
      </c>
      <c r="Y42" s="178">
        <f t="shared" si="11"/>
        <v>7.331498606861421E-2</v>
      </c>
      <c r="Z42" s="178">
        <f t="shared" si="12"/>
        <v>0.22703315612838534</v>
      </c>
      <c r="AA42" s="178">
        <f t="shared" si="13"/>
        <v>0.6056370831267841</v>
      </c>
      <c r="AB42" s="178">
        <f t="shared" si="9"/>
        <v>0.59271636382284065</v>
      </c>
      <c r="AC42" s="178">
        <f t="shared" si="9"/>
        <v>1.4147919542853467</v>
      </c>
    </row>
    <row r="43" spans="1:29">
      <c r="A43" s="175">
        <f>WILD_CHUM_DATA!A48</f>
        <v>2008</v>
      </c>
      <c r="B43" s="176">
        <f>WILD_CHUM_DATA!O48</f>
        <v>182016</v>
      </c>
      <c r="C43" s="176">
        <f t="shared" si="1"/>
        <v>117002</v>
      </c>
      <c r="D43" s="176">
        <f t="shared" si="5"/>
        <v>133733</v>
      </c>
      <c r="E43" s="176">
        <f t="shared" si="7"/>
        <v>111283.33333333333</v>
      </c>
      <c r="F43" s="176">
        <f t="shared" si="8"/>
        <v>136924.5</v>
      </c>
      <c r="G43" s="176">
        <f t="shared" si="10"/>
        <v>173690.6</v>
      </c>
      <c r="H43" s="176">
        <f t="shared" si="14"/>
        <v>260625.37058823527</v>
      </c>
      <c r="I43" s="166"/>
      <c r="J43" s="176">
        <f t="shared" si="2"/>
        <v>65014</v>
      </c>
      <c r="K43" s="176">
        <f t="shared" si="2"/>
        <v>48283</v>
      </c>
      <c r="L43" s="176">
        <f t="shared" si="2"/>
        <v>70732.666666666672</v>
      </c>
      <c r="M43" s="176">
        <f t="shared" si="2"/>
        <v>45091.5</v>
      </c>
      <c r="N43" s="176">
        <f t="shared" si="2"/>
        <v>8325.3999999999942</v>
      </c>
      <c r="O43" s="176">
        <f t="shared" si="2"/>
        <v>-78609.370588235266</v>
      </c>
      <c r="Q43" s="177">
        <f t="shared" si="3"/>
        <v>0.35718837904360057</v>
      </c>
      <c r="R43" s="177">
        <f t="shared" si="3"/>
        <v>0.26526788853727146</v>
      </c>
      <c r="S43" s="177">
        <f t="shared" si="3"/>
        <v>0.38860686240037506</v>
      </c>
      <c r="T43" s="177">
        <f t="shared" si="3"/>
        <v>0.24773371571729957</v>
      </c>
      <c r="U43" s="177">
        <f t="shared" si="3"/>
        <v>4.5739934950773525E-2</v>
      </c>
      <c r="V43" s="177">
        <f t="shared" si="3"/>
        <v>-0.43188165099900705</v>
      </c>
      <c r="W43" s="175">
        <f t="shared" si="0"/>
        <v>2008</v>
      </c>
      <c r="X43" s="178">
        <f t="shared" si="4"/>
        <v>0.35718837904360057</v>
      </c>
      <c r="Y43" s="178">
        <f t="shared" si="11"/>
        <v>0.26526788853727146</v>
      </c>
      <c r="Z43" s="178">
        <f t="shared" si="12"/>
        <v>0.38860686240037506</v>
      </c>
      <c r="AA43" s="178">
        <f t="shared" si="13"/>
        <v>0.24773371571729957</v>
      </c>
      <c r="AB43" s="178">
        <f t="shared" si="9"/>
        <v>4.5739934950773525E-2</v>
      </c>
      <c r="AC43" s="178">
        <f t="shared" si="9"/>
        <v>0.43188165099900705</v>
      </c>
    </row>
    <row r="44" spans="1:29">
      <c r="A44" s="175">
        <f>WILD_CHUM_DATA!A49</f>
        <v>2009</v>
      </c>
      <c r="B44" s="176">
        <f>WILD_CHUM_DATA!O49</f>
        <v>82871</v>
      </c>
      <c r="C44" s="176">
        <f t="shared" si="1"/>
        <v>182016</v>
      </c>
      <c r="D44" s="176">
        <f t="shared" si="5"/>
        <v>149509</v>
      </c>
      <c r="E44" s="176">
        <f t="shared" si="7"/>
        <v>149827.33333333334</v>
      </c>
      <c r="F44" s="176">
        <f t="shared" si="8"/>
        <v>128966.5</v>
      </c>
      <c r="G44" s="176">
        <f t="shared" si="10"/>
        <v>145942.79999999999</v>
      </c>
      <c r="H44" s="176">
        <f t="shared" si="14"/>
        <v>249163.95294117648</v>
      </c>
      <c r="I44" s="166"/>
      <c r="J44" s="176">
        <f t="shared" si="2"/>
        <v>-99145</v>
      </c>
      <c r="K44" s="176">
        <f t="shared" si="2"/>
        <v>-66638</v>
      </c>
      <c r="L44" s="176">
        <f t="shared" si="2"/>
        <v>-66956.333333333343</v>
      </c>
      <c r="M44" s="176">
        <f t="shared" si="2"/>
        <v>-46095.5</v>
      </c>
      <c r="N44" s="176">
        <f t="shared" si="2"/>
        <v>-63071.799999999988</v>
      </c>
      <c r="O44" s="176">
        <f t="shared" si="2"/>
        <v>-166292.95294117648</v>
      </c>
      <c r="Q44" s="177">
        <f t="shared" si="3"/>
        <v>-1.1963775023832222</v>
      </c>
      <c r="R44" s="177">
        <f t="shared" si="3"/>
        <v>-0.80411724246117455</v>
      </c>
      <c r="S44" s="177">
        <f t="shared" si="3"/>
        <v>-0.80795855405791339</v>
      </c>
      <c r="T44" s="177">
        <f t="shared" si="3"/>
        <v>-0.55623197499728494</v>
      </c>
      <c r="U44" s="177">
        <f t="shared" si="3"/>
        <v>-0.76108409455659987</v>
      </c>
      <c r="V44" s="177">
        <f t="shared" si="3"/>
        <v>-2.0066483201744454</v>
      </c>
      <c r="W44" s="175">
        <f t="shared" si="0"/>
        <v>2009</v>
      </c>
      <c r="X44" s="178">
        <f t="shared" si="4"/>
        <v>1.1963775023832222</v>
      </c>
      <c r="Y44" s="178">
        <f t="shared" si="11"/>
        <v>0.80411724246117455</v>
      </c>
      <c r="Z44" s="178">
        <f t="shared" si="12"/>
        <v>0.80795855405791339</v>
      </c>
      <c r="AA44" s="178">
        <f t="shared" si="13"/>
        <v>0.55623197499728494</v>
      </c>
      <c r="AB44" s="178">
        <f t="shared" si="9"/>
        <v>0.76108409455659987</v>
      </c>
      <c r="AC44" s="178">
        <f t="shared" si="9"/>
        <v>2.0066483201744454</v>
      </c>
    </row>
    <row r="45" spans="1:29">
      <c r="A45" s="175">
        <f>WILD_CHUM_DATA!A50</f>
        <v>2010</v>
      </c>
      <c r="B45" s="176">
        <f>WILD_CHUM_DATA!O50</f>
        <v>91872.380946631209</v>
      </c>
      <c r="C45" s="176">
        <f t="shared" si="1"/>
        <v>82871</v>
      </c>
      <c r="D45" s="176">
        <f t="shared" si="5"/>
        <v>132443.5</v>
      </c>
      <c r="E45" s="176">
        <f t="shared" si="7"/>
        <v>127296.33333333333</v>
      </c>
      <c r="F45" s="176">
        <f t="shared" si="8"/>
        <v>133088.25</v>
      </c>
      <c r="G45" s="176">
        <f t="shared" si="10"/>
        <v>119747.4</v>
      </c>
      <c r="H45" s="176">
        <f t="shared" si="14"/>
        <v>223381.13529411764</v>
      </c>
      <c r="I45" s="166"/>
      <c r="J45" s="176">
        <f t="shared" si="2"/>
        <v>9001.3809466312086</v>
      </c>
      <c r="K45" s="176">
        <f t="shared" si="2"/>
        <v>-40571.119053368791</v>
      </c>
      <c r="L45" s="176">
        <f t="shared" si="2"/>
        <v>-35423.95238670212</v>
      </c>
      <c r="M45" s="176">
        <f t="shared" si="2"/>
        <v>-41215.869053368791</v>
      </c>
      <c r="N45" s="176">
        <f t="shared" si="2"/>
        <v>-27875.019053368786</v>
      </c>
      <c r="O45" s="176">
        <f t="shared" si="2"/>
        <v>-131508.75434748642</v>
      </c>
      <c r="Q45" s="177">
        <f t="shared" si="3"/>
        <v>9.7977007386584686E-2</v>
      </c>
      <c r="R45" s="177">
        <f t="shared" si="3"/>
        <v>-0.44160300011095399</v>
      </c>
      <c r="S45" s="177">
        <f t="shared" si="3"/>
        <v>-0.38557782025133258</v>
      </c>
      <c r="T45" s="177">
        <f t="shared" si="3"/>
        <v>-0.44862088724261046</v>
      </c>
      <c r="U45" s="177">
        <f t="shared" si="3"/>
        <v>-0.30341021715287231</v>
      </c>
      <c r="V45" s="177">
        <f t="shared" si="3"/>
        <v>-1.4314286077322851</v>
      </c>
      <c r="W45" s="175">
        <f t="shared" si="0"/>
        <v>2010</v>
      </c>
      <c r="X45" s="178">
        <f t="shared" si="4"/>
        <v>9.7977007386584686E-2</v>
      </c>
      <c r="Y45" s="178">
        <f t="shared" si="11"/>
        <v>0.44160300011095399</v>
      </c>
      <c r="Z45" s="178">
        <f t="shared" si="12"/>
        <v>0.38557782025133258</v>
      </c>
      <c r="AA45" s="178">
        <f t="shared" si="13"/>
        <v>0.44862088724261046</v>
      </c>
      <c r="AB45" s="178">
        <f t="shared" si="9"/>
        <v>0.30341021715287231</v>
      </c>
      <c r="AC45" s="178">
        <f t="shared" si="9"/>
        <v>1.4314286077322851</v>
      </c>
    </row>
    <row r="46" spans="1:29">
      <c r="A46" s="175">
        <f>WILD_CHUM_DATA!A51</f>
        <v>2011</v>
      </c>
      <c r="B46" s="176">
        <f>WILD_CHUM_DATA!O51</f>
        <v>101740</v>
      </c>
      <c r="C46" s="176">
        <f t="shared" si="1"/>
        <v>91872.380946631209</v>
      </c>
      <c r="D46" s="176">
        <f t="shared" si="5"/>
        <v>87371.690473315597</v>
      </c>
      <c r="E46" s="176">
        <f t="shared" si="7"/>
        <v>118919.79364887706</v>
      </c>
      <c r="F46" s="176">
        <f t="shared" si="8"/>
        <v>118440.3452366578</v>
      </c>
      <c r="G46" s="176">
        <f t="shared" si="10"/>
        <v>124845.07618932624</v>
      </c>
      <c r="H46" s="176">
        <f t="shared" si="14"/>
        <v>186247.35574172196</v>
      </c>
      <c r="I46" s="166"/>
      <c r="J46" s="176">
        <f t="shared" si="2"/>
        <v>9867.6190533687914</v>
      </c>
      <c r="K46" s="176">
        <f t="shared" si="2"/>
        <v>14368.309526684403</v>
      </c>
      <c r="L46" s="176">
        <f t="shared" si="2"/>
        <v>-17179.793648877065</v>
      </c>
      <c r="M46" s="176">
        <f t="shared" si="2"/>
        <v>-16700.345236657799</v>
      </c>
      <c r="N46" s="176">
        <f t="shared" si="2"/>
        <v>-23105.076189326239</v>
      </c>
      <c r="O46" s="176">
        <f t="shared" si="2"/>
        <v>-84507.355741721956</v>
      </c>
      <c r="Q46" s="177">
        <f t="shared" si="3"/>
        <v>9.6988589083632698E-2</v>
      </c>
      <c r="R46" s="177">
        <f t="shared" si="3"/>
        <v>0.14122576692239436</v>
      </c>
      <c r="S46" s="177">
        <f t="shared" si="3"/>
        <v>-0.16885977637976277</v>
      </c>
      <c r="T46" s="177">
        <f t="shared" si="3"/>
        <v>-0.16414728952877727</v>
      </c>
      <c r="U46" s="177">
        <f t="shared" si="3"/>
        <v>-0.227099235200769</v>
      </c>
      <c r="V46" s="177">
        <f t="shared" si="3"/>
        <v>-0.83062075625832477</v>
      </c>
      <c r="W46" s="175">
        <f t="shared" si="0"/>
        <v>2011</v>
      </c>
      <c r="X46" s="178">
        <f t="shared" si="4"/>
        <v>9.6988589083632698E-2</v>
      </c>
      <c r="Y46" s="178">
        <f t="shared" si="11"/>
        <v>0.14122576692239436</v>
      </c>
      <c r="Z46" s="178">
        <f t="shared" si="12"/>
        <v>0.16885977637976277</v>
      </c>
      <c r="AA46" s="178">
        <f t="shared" si="13"/>
        <v>0.16414728952877727</v>
      </c>
      <c r="AB46" s="178">
        <f t="shared" si="9"/>
        <v>0.227099235200769</v>
      </c>
      <c r="AC46" s="178">
        <f t="shared" si="9"/>
        <v>0.83062075625832477</v>
      </c>
    </row>
    <row r="47" spans="1:29">
      <c r="A47" s="175">
        <f>WILD_CHUM_DATA!A52</f>
        <v>2012</v>
      </c>
      <c r="B47" s="176">
        <f>WILD_CHUM_DATA!O52</f>
        <v>211798</v>
      </c>
      <c r="C47" s="176">
        <f t="shared" si="1"/>
        <v>101740</v>
      </c>
      <c r="D47" s="176">
        <f>AVERAGE(B45:B46)</f>
        <v>96806.190473315597</v>
      </c>
      <c r="E47" s="176">
        <f>AVERAGE(B44:B46)</f>
        <v>92161.126982210393</v>
      </c>
      <c r="F47" s="176">
        <f>AVERAGE(B43:B46)</f>
        <v>114624.8452366578</v>
      </c>
      <c r="G47" s="176">
        <f>AVERAGE(B42:B46)</f>
        <v>115100.27618932624</v>
      </c>
      <c r="H47" s="176">
        <f>AVERAGE(B37:B46)</f>
        <v>150725.63809466313</v>
      </c>
      <c r="I47" s="166"/>
      <c r="J47" s="176">
        <f t="shared" ref="J47:O47" si="15">$B47-C47</f>
        <v>110058</v>
      </c>
      <c r="K47" s="176">
        <f t="shared" si="15"/>
        <v>114991.8095266844</v>
      </c>
      <c r="L47" s="176">
        <f t="shared" si="15"/>
        <v>119636.87301778961</v>
      </c>
      <c r="M47" s="176">
        <f t="shared" si="15"/>
        <v>97173.154763342201</v>
      </c>
      <c r="N47" s="176">
        <f t="shared" si="15"/>
        <v>96697.723810673764</v>
      </c>
      <c r="O47" s="176">
        <f t="shared" si="15"/>
        <v>61072.361905336875</v>
      </c>
      <c r="Q47" s="177">
        <f t="shared" ref="Q47:V47" si="16">($B47-C47)/$B47</f>
        <v>0.5196366349068452</v>
      </c>
      <c r="R47" s="177">
        <f t="shared" si="16"/>
        <v>0.54293151742077073</v>
      </c>
      <c r="S47" s="177">
        <f t="shared" si="16"/>
        <v>0.56486309133131385</v>
      </c>
      <c r="T47" s="177">
        <f t="shared" si="16"/>
        <v>0.45880109709884986</v>
      </c>
      <c r="U47" s="177">
        <f t="shared" si="16"/>
        <v>0.45655635941167416</v>
      </c>
      <c r="V47" s="177">
        <f t="shared" si="16"/>
        <v>0.28835192922188535</v>
      </c>
      <c r="W47" s="175">
        <f>A47</f>
        <v>2012</v>
      </c>
      <c r="X47" s="178">
        <f t="shared" ref="X47:AC47" si="17">ABS(Q47)</f>
        <v>0.5196366349068452</v>
      </c>
      <c r="Y47" s="178">
        <f t="shared" si="17"/>
        <v>0.54293151742077073</v>
      </c>
      <c r="Z47" s="178">
        <f t="shared" si="17"/>
        <v>0.56486309133131385</v>
      </c>
      <c r="AA47" s="178">
        <f t="shared" si="17"/>
        <v>0.45880109709884986</v>
      </c>
      <c r="AB47" s="178">
        <f t="shared" si="17"/>
        <v>0.45655635941167416</v>
      </c>
      <c r="AC47" s="178">
        <f t="shared" si="17"/>
        <v>0.28835192922188535</v>
      </c>
    </row>
    <row r="48" spans="1:29">
      <c r="A48" s="175">
        <f>WILD_CHUM_DATA!A53</f>
        <v>2013</v>
      </c>
      <c r="B48" s="176">
        <f>WILD_CHUM_DATA!O53</f>
        <v>236893.12821114546</v>
      </c>
      <c r="C48" s="176">
        <f>B47</f>
        <v>211798</v>
      </c>
      <c r="D48" s="176">
        <f>AVERAGE(B46:B47)</f>
        <v>156769</v>
      </c>
      <c r="E48" s="176">
        <f>AVERAGE(B45:B47)</f>
        <v>135136.79364887706</v>
      </c>
      <c r="F48" s="176">
        <f>AVERAGE(B44:B47)</f>
        <v>122070.3452366578</v>
      </c>
      <c r="G48" s="176">
        <f>AVERAGE(B43:B47)</f>
        <v>134059.47618932623</v>
      </c>
      <c r="H48" s="176">
        <f>AVERAGE(B38:B47)</f>
        <v>153875.03809466312</v>
      </c>
      <c r="J48" s="176">
        <f t="shared" ref="J48:O48" si="18">$B48-C48</f>
        <v>25095.128211145464</v>
      </c>
      <c r="K48" s="176">
        <f t="shared" si="18"/>
        <v>80124.128211145464</v>
      </c>
      <c r="L48" s="176">
        <f t="shared" si="18"/>
        <v>101756.3345622684</v>
      </c>
      <c r="M48" s="176">
        <f t="shared" si="18"/>
        <v>114822.78297448767</v>
      </c>
      <c r="N48" s="176">
        <f t="shared" si="18"/>
        <v>102833.65202181923</v>
      </c>
      <c r="O48" s="176">
        <f t="shared" si="18"/>
        <v>83018.090116482344</v>
      </c>
      <c r="Q48" s="177">
        <f t="shared" ref="Q48:V48" si="19">($B48-C48)/$B48</f>
        <v>0.10593438653390527</v>
      </c>
      <c r="R48" s="177">
        <f t="shared" si="19"/>
        <v>0.33822900991762811</v>
      </c>
      <c r="S48" s="177">
        <f t="shared" si="19"/>
        <v>0.42954531999582468</v>
      </c>
      <c r="T48" s="177">
        <f t="shared" si="19"/>
        <v>0.4847028862405196</v>
      </c>
      <c r="U48" s="177">
        <f t="shared" si="19"/>
        <v>0.43409301400318567</v>
      </c>
      <c r="V48" s="177">
        <f t="shared" si="19"/>
        <v>0.3504453284203643</v>
      </c>
      <c r="W48" s="175">
        <f>A48</f>
        <v>2013</v>
      </c>
      <c r="X48" s="178">
        <f t="shared" ref="X48:AC48" si="20">ABS(Q48)</f>
        <v>0.10593438653390527</v>
      </c>
      <c r="Y48" s="178">
        <f t="shared" si="20"/>
        <v>0.33822900991762811</v>
      </c>
      <c r="Z48" s="178">
        <f t="shared" si="20"/>
        <v>0.42954531999582468</v>
      </c>
      <c r="AA48" s="178">
        <f t="shared" si="20"/>
        <v>0.4847028862405196</v>
      </c>
      <c r="AB48" s="178">
        <f t="shared" si="20"/>
        <v>0.43409301400318567</v>
      </c>
      <c r="AC48" s="178">
        <f t="shared" si="20"/>
        <v>0.3504453284203643</v>
      </c>
    </row>
    <row r="49" spans="1:29">
      <c r="A49" s="175">
        <f>WILD_CHUM_DATA!A54</f>
        <v>2014</v>
      </c>
      <c r="B49" s="176">
        <f>WILD_CHUM_DATA!O54</f>
        <v>227078</v>
      </c>
      <c r="C49" s="176">
        <f>B48</f>
        <v>236893.12821114546</v>
      </c>
      <c r="D49" s="176">
        <f>AVERAGE(B47:B48)</f>
        <v>224345.56410557273</v>
      </c>
      <c r="E49" s="176">
        <f>AVERAGE(B46:B48)</f>
        <v>183477.0427370485</v>
      </c>
      <c r="F49" s="176">
        <f>AVERAGE(B45:B48)</f>
        <v>160575.87728944415</v>
      </c>
      <c r="G49" s="176">
        <f>AVERAGE(B44:B48)</f>
        <v>145034.90183155533</v>
      </c>
      <c r="H49" s="176">
        <f>AVERAGE(B39:B48)</f>
        <v>145488.85091577767</v>
      </c>
      <c r="J49" s="176">
        <f t="shared" ref="J49:O49" si="21">$B49-C49</f>
        <v>-9815.1282111454639</v>
      </c>
      <c r="K49" s="176">
        <f t="shared" si="21"/>
        <v>2732.4358944272681</v>
      </c>
      <c r="L49" s="176">
        <f t="shared" si="21"/>
        <v>43600.957262951502</v>
      </c>
      <c r="M49" s="176">
        <f t="shared" si="21"/>
        <v>66502.12271055585</v>
      </c>
      <c r="N49" s="176">
        <f t="shared" si="21"/>
        <v>82043.098168444674</v>
      </c>
      <c r="O49" s="176">
        <f t="shared" si="21"/>
        <v>81589.149084222328</v>
      </c>
      <c r="Q49" s="177">
        <f t="shared" ref="Q49:V49" si="22">($B49-C49)/$B49</f>
        <v>-4.3223598107898886E-2</v>
      </c>
      <c r="R49" s="177">
        <f t="shared" si="22"/>
        <v>1.2033027833727918E-2</v>
      </c>
      <c r="S49" s="177">
        <f t="shared" si="22"/>
        <v>0.19200872503259453</v>
      </c>
      <c r="T49" s="177">
        <f t="shared" si="22"/>
        <v>0.29286026259944092</v>
      </c>
      <c r="U49" s="177">
        <f t="shared" si="22"/>
        <v>0.36129919308979591</v>
      </c>
      <c r="V49" s="177">
        <f t="shared" si="22"/>
        <v>0.35930010429994241</v>
      </c>
      <c r="W49" s="175">
        <f>A49</f>
        <v>2014</v>
      </c>
      <c r="X49" s="178">
        <f t="shared" ref="X49:AC49" si="23">ABS(Q49)</f>
        <v>4.3223598107898886E-2</v>
      </c>
      <c r="Y49" s="178">
        <f t="shared" si="23"/>
        <v>1.2033027833727918E-2</v>
      </c>
      <c r="Z49" s="178">
        <f t="shared" si="23"/>
        <v>0.19200872503259453</v>
      </c>
      <c r="AA49" s="178">
        <f t="shared" si="23"/>
        <v>0.29286026259944092</v>
      </c>
      <c r="AB49" s="178">
        <f t="shared" si="23"/>
        <v>0.36129919308979591</v>
      </c>
      <c r="AC49" s="178">
        <f t="shared" si="23"/>
        <v>0.35930010429994241</v>
      </c>
    </row>
    <row r="53" spans="1:29">
      <c r="W53" s="179"/>
      <c r="X53" s="174"/>
      <c r="Y53" s="174"/>
      <c r="Z53" s="174"/>
      <c r="AA53" s="174"/>
      <c r="AB53" s="174"/>
      <c r="AC53" s="174"/>
    </row>
    <row r="54" spans="1:29">
      <c r="W54" s="179" t="s">
        <v>119</v>
      </c>
      <c r="X54" s="181">
        <f t="shared" ref="X54:AC54" si="24">AVERAGE(X7:X53)</f>
        <v>0.84595129075329922</v>
      </c>
      <c r="Y54" s="181">
        <f t="shared" si="24"/>
        <v>0.77477722868313481</v>
      </c>
      <c r="Z54" s="181">
        <f t="shared" si="24"/>
        <v>0.68499423599903519</v>
      </c>
      <c r="AA54" s="181">
        <f t="shared" si="24"/>
        <v>0.77829634772079592</v>
      </c>
      <c r="AB54" s="181">
        <f t="shared" si="24"/>
        <v>0.80368377847206374</v>
      </c>
      <c r="AC54" s="181">
        <f t="shared" si="24"/>
        <v>1.2749107597411706</v>
      </c>
    </row>
    <row r="55" spans="1:29">
      <c r="W55" s="179" t="s">
        <v>120</v>
      </c>
      <c r="X55" s="182">
        <f t="shared" ref="X55:AC55" si="25">AVERAGE(X26:X53)</f>
        <v>0.45059877403021881</v>
      </c>
      <c r="Y55" s="182">
        <f t="shared" si="25"/>
        <v>0.48636322115181946</v>
      </c>
      <c r="Z55" s="182">
        <f t="shared" si="25"/>
        <v>0.63519960126846897</v>
      </c>
      <c r="AA55" s="182">
        <f t="shared" si="25"/>
        <v>0.79894432321573516</v>
      </c>
      <c r="AB55" s="182">
        <f t="shared" si="25"/>
        <v>0.9746913866099236</v>
      </c>
      <c r="AC55" s="182">
        <f t="shared" si="25"/>
        <v>1.5872870295476798</v>
      </c>
    </row>
    <row r="56" spans="1:29">
      <c r="W56" s="179" t="s">
        <v>121</v>
      </c>
      <c r="X56" s="182">
        <f t="shared" ref="X56:AC56" si="26">STDEV(X26:X53)</f>
        <v>0.56940060347716692</v>
      </c>
      <c r="Y56" s="182">
        <f t="shared" si="26"/>
        <v>0.75005056663046843</v>
      </c>
      <c r="Z56" s="182">
        <f t="shared" si="26"/>
        <v>0.84630804647977398</v>
      </c>
      <c r="AA56" s="182">
        <f t="shared" si="26"/>
        <v>1.1728452408010817</v>
      </c>
      <c r="AB56" s="182">
        <f t="shared" si="26"/>
        <v>1.438783190448707</v>
      </c>
      <c r="AC56" s="182">
        <f t="shared" si="26"/>
        <v>1.7449802371496257</v>
      </c>
    </row>
  </sheetData>
  <mergeCells count="2">
    <mergeCell ref="J3:O3"/>
    <mergeCell ref="Q3:V3"/>
  </mergeCells>
  <phoneticPr fontId="14"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topLeftCell="A4" workbookViewId="0">
      <selection activeCell="K43" sqref="K43"/>
    </sheetView>
  </sheetViews>
  <sheetFormatPr baseColWidth="10" defaultColWidth="12.83203125" defaultRowHeight="12" x14ac:dyDescent="0"/>
  <cols>
    <col min="1" max="2" width="8.83203125" customWidth="1"/>
    <col min="5" max="12" width="10.1640625" customWidth="1"/>
  </cols>
  <sheetData>
    <row r="1" spans="1:7">
      <c r="A1" t="s">
        <v>3</v>
      </c>
    </row>
    <row r="2" spans="1:7">
      <c r="B2" s="2">
        <v>0.5</v>
      </c>
      <c r="C2" s="2">
        <v>0.4</v>
      </c>
      <c r="D2" s="2">
        <v>0.2</v>
      </c>
      <c r="E2" s="2">
        <v>0.1</v>
      </c>
      <c r="F2" s="2">
        <v>0.05</v>
      </c>
      <c r="G2" s="2">
        <v>2.5000000000000001E-2</v>
      </c>
    </row>
    <row r="3" spans="1:7">
      <c r="A3">
        <v>1</v>
      </c>
      <c r="B3" s="3">
        <v>1</v>
      </c>
      <c r="C3" s="4">
        <v>1.3759999999999999</v>
      </c>
      <c r="D3" s="4">
        <v>3.0779999999999998</v>
      </c>
      <c r="E3" s="4">
        <v>6.3140000000000001</v>
      </c>
      <c r="F3" s="4">
        <v>12.706</v>
      </c>
      <c r="G3" s="5">
        <v>25.452000000000002</v>
      </c>
    </row>
    <row r="4" spans="1:7">
      <c r="A4">
        <v>2</v>
      </c>
      <c r="B4" s="6">
        <v>0.81600000000000006</v>
      </c>
      <c r="C4" s="2">
        <v>1.0609999999999999</v>
      </c>
      <c r="D4" s="2">
        <v>1.8859999999999999</v>
      </c>
      <c r="E4" s="2">
        <v>2.92</v>
      </c>
      <c r="F4" s="2">
        <v>4.3029999999999999</v>
      </c>
      <c r="G4" s="7">
        <v>6.2050000000000001</v>
      </c>
    </row>
    <row r="5" spans="1:7">
      <c r="A5">
        <v>3</v>
      </c>
      <c r="B5" s="6">
        <v>0.76500000000000001</v>
      </c>
      <c r="C5" s="2">
        <v>0.97799999999999998</v>
      </c>
      <c r="D5" s="2">
        <v>1.6379999999999999</v>
      </c>
      <c r="E5" s="2">
        <v>2.3530000000000002</v>
      </c>
      <c r="F5" s="2">
        <v>3.1819999999999999</v>
      </c>
      <c r="G5" s="7">
        <v>4.1760000000000002</v>
      </c>
    </row>
    <row r="6" spans="1:7">
      <c r="A6">
        <v>4</v>
      </c>
      <c r="B6" s="6">
        <v>0.74099999999999999</v>
      </c>
      <c r="C6" s="2">
        <v>0.94100000000000006</v>
      </c>
      <c r="D6" s="2">
        <v>1.5329999999999999</v>
      </c>
      <c r="E6" s="2">
        <v>2.1320000000000001</v>
      </c>
      <c r="F6" s="2">
        <v>2.7759999999999998</v>
      </c>
      <c r="G6" s="7">
        <v>3.4950000000000001</v>
      </c>
    </row>
    <row r="7" spans="1:7">
      <c r="A7">
        <v>5</v>
      </c>
      <c r="B7" s="6">
        <v>0.72699999999999998</v>
      </c>
      <c r="C7" s="2">
        <v>0.92</v>
      </c>
      <c r="D7" s="2">
        <v>1.476</v>
      </c>
      <c r="E7" s="2">
        <v>2.0150000000000001</v>
      </c>
      <c r="F7" s="2">
        <v>2.5710000000000002</v>
      </c>
      <c r="G7" s="7">
        <v>3.1629999999999998</v>
      </c>
    </row>
    <row r="8" spans="1:7">
      <c r="A8">
        <v>6</v>
      </c>
      <c r="B8" s="6">
        <v>0.71799999999999997</v>
      </c>
      <c r="C8" s="2">
        <v>0.90600000000000003</v>
      </c>
      <c r="D8" s="2">
        <v>1.44</v>
      </c>
      <c r="E8" s="2">
        <v>1.9430000000000001</v>
      </c>
      <c r="F8" s="2">
        <v>2.4470000000000001</v>
      </c>
      <c r="G8" s="7">
        <v>2.9689999999999999</v>
      </c>
    </row>
    <row r="9" spans="1:7">
      <c r="A9">
        <v>7</v>
      </c>
      <c r="B9" s="6">
        <v>0.71099999999999997</v>
      </c>
      <c r="C9" s="2">
        <v>0.89600000000000002</v>
      </c>
      <c r="D9" s="2">
        <v>1.415</v>
      </c>
      <c r="E9" s="2">
        <v>1.895</v>
      </c>
      <c r="F9" s="2">
        <v>2.3650000000000002</v>
      </c>
      <c r="G9" s="7">
        <v>2.8410000000000002</v>
      </c>
    </row>
    <row r="10" spans="1:7">
      <c r="A10">
        <v>8</v>
      </c>
      <c r="B10" s="6">
        <v>0.70599999999999996</v>
      </c>
      <c r="C10" s="2">
        <v>0.88900000000000001</v>
      </c>
      <c r="D10" s="2">
        <v>1.397</v>
      </c>
      <c r="E10" s="2">
        <v>1.86</v>
      </c>
      <c r="F10" s="2">
        <v>2.306</v>
      </c>
      <c r="G10" s="7">
        <v>2.7519999999999998</v>
      </c>
    </row>
    <row r="11" spans="1:7">
      <c r="A11">
        <v>9</v>
      </c>
      <c r="B11" s="6">
        <v>0.70300000000000007</v>
      </c>
      <c r="C11" s="2">
        <v>0.88300000000000001</v>
      </c>
      <c r="D11" s="2">
        <v>1.383</v>
      </c>
      <c r="E11" s="2">
        <v>1.833</v>
      </c>
      <c r="F11" s="2">
        <v>2.262</v>
      </c>
      <c r="G11" s="7">
        <v>2.6850000000000001</v>
      </c>
    </row>
    <row r="12" spans="1:7">
      <c r="A12">
        <v>10</v>
      </c>
      <c r="B12" s="6">
        <v>0.7</v>
      </c>
      <c r="C12" s="2">
        <v>0.879</v>
      </c>
      <c r="D12" s="2">
        <v>1.3720000000000001</v>
      </c>
      <c r="E12" s="2">
        <v>1.8120000000000001</v>
      </c>
      <c r="F12" s="2">
        <v>2.2280000000000002</v>
      </c>
      <c r="G12" s="7">
        <v>2.6339999999999999</v>
      </c>
    </row>
    <row r="13" spans="1:7" ht="17" customHeight="1">
      <c r="A13">
        <v>11</v>
      </c>
      <c r="B13" s="6">
        <v>0.69700000000000006</v>
      </c>
      <c r="C13" s="2">
        <v>0.876</v>
      </c>
      <c r="D13" s="2">
        <v>1.363</v>
      </c>
      <c r="E13" s="2">
        <v>1.796</v>
      </c>
      <c r="F13" s="2">
        <v>2.2010000000000001</v>
      </c>
      <c r="G13" s="7">
        <v>2.593</v>
      </c>
    </row>
    <row r="14" spans="1:7">
      <c r="A14">
        <v>12</v>
      </c>
      <c r="B14" s="6">
        <v>0.69499999999999995</v>
      </c>
      <c r="C14" s="2">
        <v>0.873</v>
      </c>
      <c r="D14" s="2">
        <v>1.3560000000000001</v>
      </c>
      <c r="E14" s="2">
        <v>1.782</v>
      </c>
      <c r="F14" s="2">
        <v>2.1789999999999998</v>
      </c>
      <c r="G14" s="7">
        <v>2.56</v>
      </c>
    </row>
    <row r="15" spans="1:7">
      <c r="A15">
        <v>13</v>
      </c>
      <c r="B15" s="6">
        <v>0.69400000000000006</v>
      </c>
      <c r="C15" s="2">
        <v>0.87</v>
      </c>
      <c r="D15" s="2">
        <v>1.35</v>
      </c>
      <c r="E15" s="2">
        <v>1.7709999999999999</v>
      </c>
      <c r="F15" s="2">
        <v>2.16</v>
      </c>
      <c r="G15" s="7">
        <v>2.5329999999999999</v>
      </c>
    </row>
    <row r="16" spans="1:7">
      <c r="A16">
        <v>14</v>
      </c>
      <c r="B16" s="6">
        <v>0.69200000000000006</v>
      </c>
      <c r="C16" s="2">
        <v>0.86799999999999999</v>
      </c>
      <c r="D16" s="2">
        <v>1.345</v>
      </c>
      <c r="E16" s="2">
        <v>1.7609999999999999</v>
      </c>
      <c r="F16" s="2">
        <v>2.145</v>
      </c>
      <c r="G16" s="7">
        <v>2.5099999999999998</v>
      </c>
    </row>
    <row r="17" spans="1:7">
      <c r="A17">
        <v>15</v>
      </c>
      <c r="B17" s="6">
        <v>0.69100000000000006</v>
      </c>
      <c r="C17" s="2">
        <v>0.86599999999999999</v>
      </c>
      <c r="D17" s="2">
        <v>1.341</v>
      </c>
      <c r="E17" s="2">
        <v>1.7529999999999999</v>
      </c>
      <c r="F17" s="2">
        <v>2.1309999999999998</v>
      </c>
      <c r="G17" s="7">
        <v>2.4900000000000002</v>
      </c>
    </row>
    <row r="18" spans="1:7">
      <c r="A18">
        <v>16</v>
      </c>
      <c r="B18" s="6">
        <v>0.69</v>
      </c>
      <c r="C18" s="2">
        <v>0.86499999999999999</v>
      </c>
      <c r="D18" s="2">
        <v>1.337</v>
      </c>
      <c r="E18" s="2">
        <v>1.746</v>
      </c>
      <c r="F18" s="2">
        <v>2.12</v>
      </c>
      <c r="G18" s="7">
        <v>2.4729999999999999</v>
      </c>
    </row>
    <row r="19" spans="1:7">
      <c r="A19">
        <v>17</v>
      </c>
      <c r="B19" s="6">
        <v>0.68900000000000006</v>
      </c>
      <c r="C19" s="2">
        <v>0.86299999999999999</v>
      </c>
      <c r="D19" s="2">
        <v>1.333</v>
      </c>
      <c r="E19" s="2">
        <v>1.74</v>
      </c>
      <c r="F19" s="2">
        <v>2.11</v>
      </c>
      <c r="G19" s="7">
        <v>2.4580000000000002</v>
      </c>
    </row>
    <row r="20" spans="1:7">
      <c r="A20">
        <v>18</v>
      </c>
      <c r="B20" s="6">
        <v>0.68800000000000006</v>
      </c>
      <c r="C20" s="2">
        <v>0.86199999999999999</v>
      </c>
      <c r="D20" s="2">
        <v>1.33</v>
      </c>
      <c r="E20" s="2">
        <v>1.734</v>
      </c>
      <c r="F20" s="2">
        <v>2.101</v>
      </c>
      <c r="G20" s="7">
        <v>2.4449999999999998</v>
      </c>
    </row>
    <row r="21" spans="1:7">
      <c r="A21">
        <v>19</v>
      </c>
      <c r="B21" s="6">
        <v>0.68800000000000006</v>
      </c>
      <c r="C21" s="2">
        <v>0.86099999999999999</v>
      </c>
      <c r="D21" s="2">
        <v>1.3280000000000001</v>
      </c>
      <c r="E21" s="2">
        <v>1.7290000000000001</v>
      </c>
      <c r="F21" s="2">
        <v>2.093</v>
      </c>
      <c r="G21" s="7">
        <v>2.4430000000000001</v>
      </c>
    </row>
    <row r="22" spans="1:7">
      <c r="A22">
        <v>20</v>
      </c>
      <c r="B22" s="6">
        <v>0.68700000000000006</v>
      </c>
      <c r="C22" s="2">
        <v>0.86</v>
      </c>
      <c r="D22" s="2">
        <v>1.325</v>
      </c>
      <c r="E22" s="2">
        <v>1.7250000000000001</v>
      </c>
      <c r="F22" s="2">
        <v>2.0859999999999999</v>
      </c>
      <c r="G22" s="7">
        <v>2.423</v>
      </c>
    </row>
    <row r="23" spans="1:7">
      <c r="A23">
        <v>21</v>
      </c>
      <c r="B23" s="6">
        <v>0.68600000000000005</v>
      </c>
      <c r="C23" s="2">
        <v>0.85899999999999999</v>
      </c>
      <c r="D23" s="2">
        <v>1.323</v>
      </c>
      <c r="E23" s="2">
        <v>1.7210000000000001</v>
      </c>
      <c r="F23" s="2">
        <v>2.08</v>
      </c>
      <c r="G23" s="7">
        <v>2.4140000000000001</v>
      </c>
    </row>
    <row r="24" spans="1:7">
      <c r="A24">
        <v>22</v>
      </c>
      <c r="B24" s="6">
        <v>0.69600000000000006</v>
      </c>
      <c r="C24" s="2">
        <v>0.85799999999999998</v>
      </c>
      <c r="D24" s="2">
        <v>1.321</v>
      </c>
      <c r="E24" s="2">
        <v>1.7170000000000001</v>
      </c>
      <c r="F24" s="2">
        <v>2.0739999999999998</v>
      </c>
      <c r="G24" s="7">
        <v>2.4060000000000001</v>
      </c>
    </row>
    <row r="25" spans="1:7">
      <c r="A25">
        <v>23</v>
      </c>
      <c r="B25" s="6">
        <v>0.68500000000000005</v>
      </c>
      <c r="C25" s="2">
        <v>0.85799999999999998</v>
      </c>
      <c r="D25" s="2">
        <v>1.319</v>
      </c>
      <c r="E25" s="2">
        <v>1.714</v>
      </c>
      <c r="F25" s="2">
        <v>2.069</v>
      </c>
      <c r="G25" s="7">
        <v>2.3980000000000001</v>
      </c>
    </row>
    <row r="26" spans="1:7">
      <c r="A26">
        <v>24</v>
      </c>
      <c r="B26" s="6">
        <v>0.68500000000000005</v>
      </c>
      <c r="C26" s="2">
        <v>0.85699999999999998</v>
      </c>
      <c r="D26" s="2">
        <v>1.3180000000000001</v>
      </c>
      <c r="E26" s="2">
        <v>1.7110000000000001</v>
      </c>
      <c r="F26" s="2">
        <v>2.0640000000000001</v>
      </c>
      <c r="G26" s="7">
        <v>2.391</v>
      </c>
    </row>
    <row r="27" spans="1:7">
      <c r="A27">
        <v>25</v>
      </c>
      <c r="B27" s="6">
        <v>0.68400000000000005</v>
      </c>
      <c r="C27" s="2">
        <v>0.85599999999999998</v>
      </c>
      <c r="D27" s="2">
        <v>1.3160000000000001</v>
      </c>
      <c r="E27" s="2">
        <v>1.708</v>
      </c>
      <c r="F27" s="2">
        <v>2.06</v>
      </c>
      <c r="G27" s="7">
        <v>2.3849999999999998</v>
      </c>
    </row>
    <row r="28" spans="1:7">
      <c r="A28">
        <v>26</v>
      </c>
      <c r="B28" s="6">
        <v>0.68400000000000005</v>
      </c>
      <c r="C28" s="2">
        <v>0.85599999999999998</v>
      </c>
      <c r="D28" s="2">
        <v>1.3149999999999999</v>
      </c>
      <c r="E28" s="2">
        <v>1.706</v>
      </c>
      <c r="F28" s="2">
        <v>2.056</v>
      </c>
      <c r="G28" s="7">
        <v>2.379</v>
      </c>
    </row>
    <row r="29" spans="1:7">
      <c r="A29">
        <v>27</v>
      </c>
      <c r="B29" s="6">
        <v>0.68400000000000005</v>
      </c>
      <c r="C29" s="2">
        <v>0.85499999999999998</v>
      </c>
      <c r="D29" s="2">
        <v>1.3140000000000001</v>
      </c>
      <c r="E29" s="2">
        <v>1.7030000000000001</v>
      </c>
      <c r="F29" s="2">
        <v>2.052</v>
      </c>
      <c r="G29" s="7">
        <v>2.3730000000000002</v>
      </c>
    </row>
    <row r="30" spans="1:7">
      <c r="A30">
        <v>28</v>
      </c>
      <c r="B30" s="6">
        <v>0.68300000000000005</v>
      </c>
      <c r="C30" s="2">
        <v>0.85499999999999998</v>
      </c>
      <c r="D30" s="2">
        <v>1.3129999999999999</v>
      </c>
      <c r="E30" s="2">
        <v>1.7010000000000001</v>
      </c>
      <c r="F30" s="2">
        <v>2.048</v>
      </c>
      <c r="G30" s="7">
        <v>2.3679999999999999</v>
      </c>
    </row>
    <row r="31" spans="1:7">
      <c r="A31">
        <v>29</v>
      </c>
      <c r="B31" s="6">
        <v>0.68300000000000005</v>
      </c>
      <c r="C31" s="2">
        <v>0.85399999999999998</v>
      </c>
      <c r="D31" s="2">
        <v>1.3109999999999999</v>
      </c>
      <c r="E31" s="2">
        <v>1.6990000000000001</v>
      </c>
      <c r="F31" s="2">
        <v>2.0449999999999999</v>
      </c>
      <c r="G31" s="7">
        <v>2.3639999999999999</v>
      </c>
    </row>
    <row r="32" spans="1:7">
      <c r="A32">
        <v>30</v>
      </c>
      <c r="B32" s="6">
        <v>0.68300000000000005</v>
      </c>
      <c r="C32" s="2">
        <v>0.85399999999999998</v>
      </c>
      <c r="D32" s="2">
        <v>1.31</v>
      </c>
      <c r="E32" s="2">
        <v>1.6970000000000001</v>
      </c>
      <c r="F32" s="2">
        <v>2.0419999999999998</v>
      </c>
      <c r="G32" s="7">
        <v>2.36</v>
      </c>
    </row>
    <row r="33" spans="1:7">
      <c r="A33">
        <v>35</v>
      </c>
      <c r="B33" s="6">
        <v>0.68200000000000005</v>
      </c>
      <c r="C33" s="2">
        <v>0.85199999999999998</v>
      </c>
      <c r="D33" s="2">
        <v>1.306</v>
      </c>
      <c r="E33" s="2">
        <v>1.69</v>
      </c>
      <c r="F33" s="2">
        <v>2.0299999999999998</v>
      </c>
      <c r="G33" s="7">
        <v>2.3420000000000001</v>
      </c>
    </row>
    <row r="34" spans="1:7">
      <c r="A34">
        <v>40</v>
      </c>
      <c r="B34" s="6">
        <v>0.68100000000000005</v>
      </c>
      <c r="C34" s="2">
        <v>0.85099999999999998</v>
      </c>
      <c r="D34" s="2">
        <v>1.3029999999999999</v>
      </c>
      <c r="E34" s="2">
        <v>1.6839999999999999</v>
      </c>
      <c r="F34" s="2">
        <v>2.0209999999999999</v>
      </c>
      <c r="G34" s="7">
        <v>2.3290000000000002</v>
      </c>
    </row>
    <row r="35" spans="1:7">
      <c r="A35">
        <v>45</v>
      </c>
      <c r="B35" s="6">
        <v>0.68</v>
      </c>
      <c r="C35" s="2">
        <v>0.85</v>
      </c>
      <c r="D35" s="2">
        <v>1.3009999999999999</v>
      </c>
      <c r="E35" s="2">
        <v>1.68</v>
      </c>
      <c r="F35" s="2">
        <v>2.0139999999999998</v>
      </c>
      <c r="G35" s="7">
        <v>2.319</v>
      </c>
    </row>
    <row r="36" spans="1:7">
      <c r="A36">
        <v>50</v>
      </c>
      <c r="B36" s="6">
        <v>0.68</v>
      </c>
      <c r="C36" s="2">
        <v>0.84899999999999998</v>
      </c>
      <c r="D36" s="2">
        <v>1.2989999999999999</v>
      </c>
      <c r="E36" s="2">
        <v>1.6759999999999999</v>
      </c>
      <c r="F36" s="2">
        <v>2.008</v>
      </c>
      <c r="G36" s="7">
        <v>2.31</v>
      </c>
    </row>
    <row r="37" spans="1:7">
      <c r="A37">
        <v>55</v>
      </c>
      <c r="B37" s="6">
        <v>0.67900000000000005</v>
      </c>
      <c r="C37" s="2">
        <v>0.84899999999999998</v>
      </c>
      <c r="D37" s="2">
        <v>1.2969999999999999</v>
      </c>
      <c r="E37" s="2">
        <v>1.673</v>
      </c>
      <c r="F37" s="2">
        <v>2.004</v>
      </c>
      <c r="G37" s="7">
        <v>2.3039999999999998</v>
      </c>
    </row>
    <row r="38" spans="1:7">
      <c r="A38">
        <v>60</v>
      </c>
      <c r="B38" s="6">
        <v>0.67900000000000005</v>
      </c>
      <c r="C38" s="2">
        <v>0.84799999999999998</v>
      </c>
      <c r="D38" s="2">
        <v>1.296</v>
      </c>
      <c r="E38" s="2">
        <v>1.671</v>
      </c>
      <c r="F38" s="2">
        <v>2</v>
      </c>
      <c r="G38" s="7">
        <v>2.2989999999999999</v>
      </c>
    </row>
    <row r="39" spans="1:7">
      <c r="A39">
        <v>70</v>
      </c>
      <c r="B39" s="6">
        <v>0.67800000000000005</v>
      </c>
      <c r="C39" s="2">
        <v>0.84699999999999998</v>
      </c>
      <c r="D39" s="2">
        <v>1.294</v>
      </c>
      <c r="E39" s="2">
        <v>1.667</v>
      </c>
      <c r="F39" s="2">
        <v>1.994</v>
      </c>
      <c r="G39" s="7">
        <v>2.29</v>
      </c>
    </row>
    <row r="40" spans="1:7">
      <c r="A40">
        <v>80</v>
      </c>
      <c r="B40" s="6">
        <v>0.67800000000000005</v>
      </c>
      <c r="C40" s="2">
        <v>0.84699999999999998</v>
      </c>
      <c r="D40" s="2">
        <v>1.2929999999999999</v>
      </c>
      <c r="E40" s="2">
        <v>1.665</v>
      </c>
      <c r="F40" s="2">
        <v>1.9890000000000001</v>
      </c>
      <c r="G40" s="7">
        <v>2.2839999999999998</v>
      </c>
    </row>
    <row r="41" spans="1:7">
      <c r="A41">
        <v>90</v>
      </c>
      <c r="B41" s="6">
        <v>0.67800000000000005</v>
      </c>
      <c r="C41" s="2">
        <v>0.84599999999999997</v>
      </c>
      <c r="D41" s="2">
        <v>1.2909999999999999</v>
      </c>
      <c r="E41" s="2">
        <v>1.6619999999999999</v>
      </c>
      <c r="F41" s="2">
        <v>1.986</v>
      </c>
      <c r="G41" s="7">
        <v>2.2789999999999999</v>
      </c>
    </row>
    <row r="42" spans="1:7">
      <c r="A42">
        <v>100</v>
      </c>
      <c r="B42" s="6">
        <v>0.67700000000000005</v>
      </c>
      <c r="C42" s="2">
        <v>0.84599999999999997</v>
      </c>
      <c r="D42" s="2">
        <v>1.29</v>
      </c>
      <c r="E42" s="2">
        <v>1.661</v>
      </c>
      <c r="F42" s="2">
        <v>1.982</v>
      </c>
      <c r="G42" s="7">
        <v>2.2759999999999998</v>
      </c>
    </row>
    <row r="43" spans="1:7">
      <c r="A43">
        <v>120</v>
      </c>
      <c r="B43" s="8">
        <v>0.67700000000000005</v>
      </c>
      <c r="C43" s="9">
        <v>0.84499999999999997</v>
      </c>
      <c r="D43" s="9">
        <v>1.2889999999999999</v>
      </c>
      <c r="E43" s="9">
        <v>1.6579999999999999</v>
      </c>
      <c r="F43" s="9">
        <v>1.98</v>
      </c>
      <c r="G43" s="10">
        <v>2.27</v>
      </c>
    </row>
    <row r="48" spans="1:7"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sheetData>
  <phoneticPr fontId="14"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Read_Me</vt:lpstr>
      <vt:lpstr>WILD_CHUM_DATA</vt:lpstr>
      <vt:lpstr>Forecasts_Summary</vt:lpstr>
      <vt:lpstr>Forecast_Evaluation_Total_Run</vt:lpstr>
      <vt:lpstr>Forecast_Evaluation_Comm_Catch</vt:lpstr>
      <vt:lpstr>ttab</vt:lpstr>
    </vt:vector>
  </TitlesOfParts>
  <Company>ADF&amp;G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45wild_Forecast.xls</dc:title>
  <dc:subject>Forecast using ave. of all natural runs since 1970</dc:subject>
  <dc:creator>Rick Merizon</dc:creator>
  <cp:lastModifiedBy>Eric Ward</cp:lastModifiedBy>
  <cp:lastPrinted>2005-11-08T00:15:10Z</cp:lastPrinted>
  <dcterms:created xsi:type="dcterms:W3CDTF">2001-12-04T23:14:40Z</dcterms:created>
  <dcterms:modified xsi:type="dcterms:W3CDTF">2015-10-06T20:28:43Z</dcterms:modified>
</cp:coreProperties>
</file>