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chartsheets/sheet3.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1240" yWindow="160" windowWidth="32760" windowHeight="21880" tabRatio="802" activeTab="1"/>
  </bookViews>
  <sheets>
    <sheet name="Summary Data" sheetId="20" r:id="rId1"/>
    <sheet name="use this Run Reconstruction-1" sheetId="23" r:id="rId2"/>
    <sheet name="Run Reconstruction-2" sheetId="24" r:id="rId3"/>
    <sheet name="Escapement Age" sheetId="22" r:id="rId4"/>
    <sheet name="Commercial Harvest" sheetId="25" r:id="rId5"/>
    <sheet name="Chart1" sheetId="19" r:id="rId6"/>
    <sheet name="Chart Run" sheetId="26" r:id="rId7"/>
    <sheet name="Historic" sheetId="27" r:id="rId8"/>
    <sheet name="Chart2" sheetId="28" r:id="rId9"/>
  </sheets>
  <calcPr calcId="140001"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M17" i="23" l="1"/>
  <c r="L17" i="23"/>
  <c r="E34" i="23"/>
  <c r="E33" i="23"/>
  <c r="E32" i="23"/>
  <c r="E31" i="23"/>
  <c r="E30" i="23"/>
  <c r="E29" i="23"/>
  <c r="E28" i="23"/>
  <c r="E27" i="23"/>
  <c r="E26" i="23"/>
  <c r="E25" i="23"/>
  <c r="E24" i="23"/>
  <c r="E23" i="23"/>
  <c r="E22" i="23"/>
  <c r="E21" i="23"/>
  <c r="E20" i="23"/>
  <c r="E19" i="23"/>
  <c r="E18" i="23"/>
  <c r="E17" i="23"/>
  <c r="E16" i="23"/>
  <c r="E15" i="23"/>
  <c r="E14" i="23"/>
  <c r="E13" i="23"/>
  <c r="E12" i="23"/>
  <c r="E11" i="23"/>
  <c r="E10" i="23"/>
  <c r="E9" i="23"/>
  <c r="E8" i="23"/>
  <c r="E7" i="23"/>
  <c r="E6" i="23"/>
  <c r="M35" i="23"/>
  <c r="L35" i="23"/>
  <c r="M34" i="23"/>
  <c r="L34" i="23"/>
  <c r="M33" i="23"/>
  <c r="L33" i="23"/>
  <c r="M32" i="23"/>
  <c r="L32" i="23"/>
  <c r="M31" i="23"/>
  <c r="L31" i="23"/>
  <c r="M30" i="23"/>
  <c r="L30" i="23"/>
  <c r="M29" i="23"/>
  <c r="L29" i="23"/>
  <c r="M28" i="23"/>
  <c r="L28" i="23"/>
  <c r="M27" i="23"/>
  <c r="L27" i="23"/>
  <c r="M26" i="23"/>
  <c r="L26" i="23"/>
  <c r="M25" i="23"/>
  <c r="L25" i="23"/>
  <c r="M24" i="23"/>
  <c r="L24" i="23"/>
  <c r="M23" i="23"/>
  <c r="L23" i="23"/>
  <c r="M22" i="23"/>
  <c r="L22" i="23"/>
  <c r="M21" i="23"/>
  <c r="L21" i="23"/>
  <c r="M20" i="23"/>
  <c r="L20" i="23"/>
  <c r="M19" i="23"/>
  <c r="L19" i="23"/>
  <c r="M18" i="23"/>
  <c r="L18" i="23"/>
  <c r="M16" i="23"/>
  <c r="L16" i="23"/>
  <c r="M15" i="23"/>
  <c r="L15" i="23"/>
  <c r="M14" i="23"/>
  <c r="L14" i="23"/>
  <c r="M13" i="23"/>
  <c r="L13" i="23"/>
  <c r="M12" i="23"/>
  <c r="L12" i="23"/>
  <c r="M11" i="23"/>
  <c r="L11" i="23"/>
  <c r="M10" i="23"/>
  <c r="L10" i="23"/>
  <c r="M9" i="23"/>
  <c r="L9" i="23"/>
  <c r="M8" i="23"/>
  <c r="L8" i="23"/>
  <c r="M7" i="23"/>
  <c r="L7" i="23"/>
  <c r="M6" i="23"/>
  <c r="L6" i="23"/>
  <c r="E41" i="22"/>
  <c r="E39" i="22"/>
  <c r="D39" i="22"/>
  <c r="E38" i="22"/>
  <c r="D38" i="22"/>
  <c r="E37" i="22"/>
  <c r="D37" i="22"/>
  <c r="E36" i="22"/>
  <c r="D36" i="22"/>
  <c r="E35" i="22"/>
  <c r="D35" i="22"/>
  <c r="E34" i="22"/>
  <c r="D34" i="22"/>
  <c r="E33" i="22"/>
  <c r="D33" i="22"/>
  <c r="E32" i="22"/>
  <c r="D32" i="22"/>
  <c r="E31" i="22"/>
  <c r="D31" i="22"/>
  <c r="E30" i="22"/>
  <c r="D30" i="22"/>
  <c r="E29" i="22"/>
  <c r="D29" i="22"/>
  <c r="E28" i="22"/>
  <c r="D28" i="22"/>
  <c r="E27" i="22"/>
  <c r="D27" i="22"/>
  <c r="E26" i="22"/>
  <c r="D26" i="22"/>
  <c r="E25" i="22"/>
  <c r="D25" i="22"/>
  <c r="E24" i="22"/>
  <c r="D24" i="22"/>
  <c r="E23" i="22"/>
  <c r="D23" i="22"/>
  <c r="E22" i="22"/>
  <c r="D22" i="22"/>
  <c r="E20" i="22"/>
  <c r="D20" i="22"/>
  <c r="E19" i="22"/>
  <c r="D19" i="22"/>
  <c r="E18" i="22"/>
  <c r="D18" i="22"/>
  <c r="E17" i="22"/>
  <c r="D17" i="22"/>
  <c r="E16" i="22"/>
  <c r="D16" i="22"/>
  <c r="E15" i="22"/>
  <c r="D15" i="22"/>
  <c r="E14" i="22"/>
  <c r="D14" i="22"/>
  <c r="E13" i="22"/>
  <c r="D13" i="22"/>
  <c r="E12" i="22"/>
  <c r="D12" i="22"/>
  <c r="E11" i="22"/>
  <c r="D11" i="22"/>
  <c r="E10" i="22"/>
  <c r="D10" i="22"/>
  <c r="E9" i="22"/>
  <c r="D9" i="22"/>
  <c r="E8" i="22"/>
  <c r="D8" i="22"/>
  <c r="E7" i="22"/>
  <c r="D7" i="22"/>
  <c r="E6" i="22"/>
  <c r="D6" i="22"/>
  <c r="E5" i="22"/>
  <c r="D5" i="22"/>
  <c r="U1" i="22"/>
  <c r="R1" i="22"/>
  <c r="O1" i="22"/>
  <c r="L1" i="22"/>
  <c r="J1" i="22"/>
  <c r="AB7" i="20"/>
  <c r="AC7" i="20"/>
  <c r="AB8" i="20"/>
  <c r="AC8" i="20"/>
  <c r="AB9" i="20"/>
  <c r="AC9" i="20"/>
  <c r="AB10" i="20"/>
  <c r="AC10" i="20"/>
  <c r="AB11" i="20"/>
  <c r="AC11" i="20"/>
  <c r="AB12" i="20"/>
  <c r="AC12" i="20"/>
  <c r="AB13" i="20"/>
  <c r="AC13" i="20"/>
  <c r="AB14" i="20"/>
  <c r="AC14" i="20"/>
  <c r="AB15" i="20"/>
  <c r="AC15" i="20"/>
  <c r="AB16" i="20"/>
  <c r="AC16" i="20"/>
  <c r="AB17" i="20"/>
  <c r="AC17" i="20"/>
  <c r="AB18" i="20"/>
  <c r="AC18" i="20"/>
  <c r="AB19" i="20"/>
  <c r="AC19" i="20"/>
  <c r="AB20" i="20"/>
  <c r="AC20" i="20"/>
  <c r="AC6" i="20"/>
  <c r="AB6" i="20"/>
  <c r="B6" i="24"/>
  <c r="B7" i="24"/>
  <c r="B8" i="24"/>
  <c r="B9" i="24"/>
  <c r="G15" i="20"/>
  <c r="C9" i="24"/>
  <c r="D9" i="24"/>
  <c r="Y8" i="22"/>
  <c r="B8" i="22"/>
  <c r="I6" i="24"/>
  <c r="B10" i="24"/>
  <c r="G16" i="20"/>
  <c r="C10" i="24"/>
  <c r="D10" i="24"/>
  <c r="Y9" i="22"/>
  <c r="C9" i="22"/>
  <c r="K6" i="24"/>
  <c r="B11" i="24"/>
  <c r="G17" i="20"/>
  <c r="C11" i="24"/>
  <c r="D11" i="24"/>
  <c r="Y10" i="22"/>
  <c r="M6" i="24"/>
  <c r="B12" i="24"/>
  <c r="G18" i="20"/>
  <c r="C12" i="24"/>
  <c r="D12" i="24"/>
  <c r="Y11" i="22"/>
  <c r="F11" i="22"/>
  <c r="O6" i="24"/>
  <c r="B13" i="24"/>
  <c r="G19" i="20"/>
  <c r="C13" i="24"/>
  <c r="D13" i="24"/>
  <c r="Y12" i="22"/>
  <c r="G12" i="22"/>
  <c r="Q6" i="24"/>
  <c r="B14" i="24"/>
  <c r="G20" i="20"/>
  <c r="C14" i="24"/>
  <c r="D14" i="24"/>
  <c r="Y13" i="22"/>
  <c r="H13" i="22"/>
  <c r="S6" i="24"/>
  <c r="E6" i="24"/>
  <c r="F6" i="24"/>
  <c r="G6" i="24"/>
  <c r="B9" i="22"/>
  <c r="I7" i="24"/>
  <c r="C10" i="22"/>
  <c r="K7" i="24"/>
  <c r="M7" i="24"/>
  <c r="F12" i="22"/>
  <c r="O7" i="24"/>
  <c r="G13" i="22"/>
  <c r="Q7" i="24"/>
  <c r="B15" i="24"/>
  <c r="G21" i="20"/>
  <c r="C15" i="24"/>
  <c r="D15" i="24"/>
  <c r="Y14" i="22"/>
  <c r="H14" i="22"/>
  <c r="S7" i="24"/>
  <c r="E7" i="24"/>
  <c r="F7" i="24"/>
  <c r="G7" i="24"/>
  <c r="B10" i="22"/>
  <c r="I8" i="24"/>
  <c r="C11" i="22"/>
  <c r="K8" i="24"/>
  <c r="M8" i="24"/>
  <c r="F13" i="22"/>
  <c r="O8" i="24"/>
  <c r="G14" i="22"/>
  <c r="Q8" i="24"/>
  <c r="B16" i="24"/>
  <c r="G22" i="20"/>
  <c r="C16" i="24"/>
  <c r="D16" i="24"/>
  <c r="Y15" i="22"/>
  <c r="H15" i="22"/>
  <c r="S8" i="24"/>
  <c r="E8" i="24"/>
  <c r="F8" i="24"/>
  <c r="G8" i="24"/>
  <c r="B11" i="22"/>
  <c r="I9" i="24"/>
  <c r="C12" i="22"/>
  <c r="K9" i="24"/>
  <c r="M9" i="24"/>
  <c r="F14" i="22"/>
  <c r="O9" i="24"/>
  <c r="G15" i="22"/>
  <c r="Q9" i="24"/>
  <c r="B17" i="24"/>
  <c r="G23" i="20"/>
  <c r="C17" i="24"/>
  <c r="D17" i="24"/>
  <c r="Y16" i="22"/>
  <c r="H16" i="22"/>
  <c r="S9" i="24"/>
  <c r="E9" i="24"/>
  <c r="F9" i="24"/>
  <c r="G9" i="24"/>
  <c r="B12" i="22"/>
  <c r="I10" i="24"/>
  <c r="C13" i="22"/>
  <c r="K10" i="24"/>
  <c r="M10" i="24"/>
  <c r="F15" i="22"/>
  <c r="O10" i="24"/>
  <c r="G16" i="22"/>
  <c r="Q10" i="24"/>
  <c r="B18" i="24"/>
  <c r="G24" i="20"/>
  <c r="C18" i="24"/>
  <c r="D18" i="24"/>
  <c r="Y17" i="22"/>
  <c r="H17" i="22"/>
  <c r="S10" i="24"/>
  <c r="E10" i="24"/>
  <c r="F10" i="24"/>
  <c r="G10" i="24"/>
  <c r="B13" i="22"/>
  <c r="I11" i="24"/>
  <c r="C14" i="22"/>
  <c r="K11" i="24"/>
  <c r="M11" i="24"/>
  <c r="F16" i="22"/>
  <c r="O11" i="24"/>
  <c r="G17" i="22"/>
  <c r="Q11" i="24"/>
  <c r="B19" i="24"/>
  <c r="G25" i="20"/>
  <c r="C19" i="24"/>
  <c r="D19" i="24"/>
  <c r="Y18" i="22"/>
  <c r="H18" i="22"/>
  <c r="S11" i="24"/>
  <c r="E11" i="24"/>
  <c r="F11" i="24"/>
  <c r="G11" i="24"/>
  <c r="B14" i="22"/>
  <c r="I12" i="24"/>
  <c r="C15" i="22"/>
  <c r="K12" i="24"/>
  <c r="M12" i="24"/>
  <c r="F17" i="22"/>
  <c r="O12" i="24"/>
  <c r="G18" i="22"/>
  <c r="Q12" i="24"/>
  <c r="B20" i="24"/>
  <c r="G26" i="20"/>
  <c r="C20" i="24"/>
  <c r="D20" i="24"/>
  <c r="Y19" i="22"/>
  <c r="H19" i="22"/>
  <c r="S12" i="24"/>
  <c r="E12" i="24"/>
  <c r="F12" i="24"/>
  <c r="G12" i="24"/>
  <c r="B15" i="22"/>
  <c r="I13" i="24"/>
  <c r="C16" i="22"/>
  <c r="K13" i="24"/>
  <c r="M13" i="24"/>
  <c r="F18" i="22"/>
  <c r="O13" i="24"/>
  <c r="G19" i="22"/>
  <c r="Q13" i="24"/>
  <c r="B21" i="24"/>
  <c r="G27" i="20"/>
  <c r="C21" i="24"/>
  <c r="D21" i="24"/>
  <c r="Y20" i="22"/>
  <c r="H20" i="22"/>
  <c r="S13" i="24"/>
  <c r="E13" i="24"/>
  <c r="F13" i="24"/>
  <c r="G13" i="24"/>
  <c r="B16" i="22"/>
  <c r="I14" i="24"/>
  <c r="C17" i="22"/>
  <c r="K14" i="24"/>
  <c r="M14" i="24"/>
  <c r="F19" i="22"/>
  <c r="O14" i="24"/>
  <c r="G20" i="22"/>
  <c r="Q14" i="24"/>
  <c r="E14" i="24"/>
  <c r="F14" i="24"/>
  <c r="G14" i="24"/>
  <c r="B17" i="22"/>
  <c r="I15" i="24"/>
  <c r="C18" i="22"/>
  <c r="K15" i="24"/>
  <c r="M15" i="24"/>
  <c r="F20" i="22"/>
  <c r="O15" i="24"/>
  <c r="I53" i="24"/>
  <c r="K53" i="24"/>
  <c r="M53" i="24"/>
  <c r="O53" i="24"/>
  <c r="Q44" i="24"/>
  <c r="T44" i="24"/>
  <c r="Q69" i="24"/>
  <c r="Q45" i="24"/>
  <c r="T45" i="24"/>
  <c r="Q70" i="24"/>
  <c r="Q46" i="24"/>
  <c r="T46" i="24"/>
  <c r="Q71" i="24"/>
  <c r="Q47" i="24"/>
  <c r="T47" i="24"/>
  <c r="Q72" i="24"/>
  <c r="Q48" i="24"/>
  <c r="T48" i="24"/>
  <c r="Q73" i="24"/>
  <c r="Q49" i="24"/>
  <c r="T49" i="24"/>
  <c r="Q74" i="24"/>
  <c r="Q50" i="24"/>
  <c r="T50" i="24"/>
  <c r="Q75" i="24"/>
  <c r="Q51" i="24"/>
  <c r="T51" i="24"/>
  <c r="Q76" i="24"/>
  <c r="Q52" i="24"/>
  <c r="T52" i="24"/>
  <c r="Q77" i="24"/>
  <c r="B27" i="24"/>
  <c r="G33" i="20"/>
  <c r="C27" i="24"/>
  <c r="D27" i="24"/>
  <c r="Y26" i="22"/>
  <c r="G26" i="22"/>
  <c r="Q20" i="24"/>
  <c r="Q58" i="24"/>
  <c r="B23" i="24"/>
  <c r="G29" i="20"/>
  <c r="C23" i="24"/>
  <c r="D23" i="24"/>
  <c r="Y22" i="22"/>
  <c r="B22" i="22"/>
  <c r="I20" i="24"/>
  <c r="B24" i="24"/>
  <c r="G30" i="20"/>
  <c r="C24" i="24"/>
  <c r="D24" i="24"/>
  <c r="Y23" i="22"/>
  <c r="C23" i="22"/>
  <c r="K20" i="24"/>
  <c r="B25" i="24"/>
  <c r="G31" i="20"/>
  <c r="C25" i="24"/>
  <c r="D25" i="24"/>
  <c r="Y24" i="22"/>
  <c r="M20" i="24"/>
  <c r="B26" i="24"/>
  <c r="G32" i="20"/>
  <c r="C26" i="24"/>
  <c r="D26" i="24"/>
  <c r="Y25" i="22"/>
  <c r="F25" i="22"/>
  <c r="O20" i="24"/>
  <c r="B28" i="24"/>
  <c r="G34" i="20"/>
  <c r="C28" i="24"/>
  <c r="D28" i="24"/>
  <c r="Y27" i="22"/>
  <c r="H27" i="22"/>
  <c r="S20" i="24"/>
  <c r="E20" i="24"/>
  <c r="T58" i="24"/>
  <c r="Q83" i="24"/>
  <c r="G27" i="22"/>
  <c r="Q21" i="24"/>
  <c r="Q59" i="24"/>
  <c r="B23" i="22"/>
  <c r="I21" i="24"/>
  <c r="C24" i="22"/>
  <c r="K21" i="24"/>
  <c r="M21" i="24"/>
  <c r="F26" i="22"/>
  <c r="O21" i="24"/>
  <c r="B29" i="24"/>
  <c r="G35" i="20"/>
  <c r="C29" i="24"/>
  <c r="D29" i="24"/>
  <c r="Y28" i="22"/>
  <c r="H28" i="22"/>
  <c r="S21" i="24"/>
  <c r="E21" i="24"/>
  <c r="T59" i="24"/>
  <c r="Q84" i="24"/>
  <c r="G28" i="22"/>
  <c r="Q22" i="24"/>
  <c r="Q60" i="24"/>
  <c r="B24" i="22"/>
  <c r="I22" i="24"/>
  <c r="C25" i="22"/>
  <c r="K22" i="24"/>
  <c r="M22" i="24"/>
  <c r="F27" i="22"/>
  <c r="O22" i="24"/>
  <c r="B30" i="24"/>
  <c r="G36" i="20"/>
  <c r="C30" i="24"/>
  <c r="D30" i="24"/>
  <c r="Y29" i="22"/>
  <c r="H29" i="22"/>
  <c r="S22" i="24"/>
  <c r="E22" i="24"/>
  <c r="T60" i="24"/>
  <c r="Q85" i="24"/>
  <c r="G29" i="22"/>
  <c r="Q23" i="24"/>
  <c r="Q61" i="24"/>
  <c r="B25" i="22"/>
  <c r="I23" i="24"/>
  <c r="C26" i="22"/>
  <c r="K23" i="24"/>
  <c r="M23" i="24"/>
  <c r="F28" i="22"/>
  <c r="O23" i="24"/>
  <c r="B31" i="24"/>
  <c r="G37" i="20"/>
  <c r="C31" i="24"/>
  <c r="D31" i="24"/>
  <c r="Y30" i="22"/>
  <c r="H30" i="22"/>
  <c r="S23" i="24"/>
  <c r="E23" i="24"/>
  <c r="T61" i="24"/>
  <c r="Q86" i="24"/>
  <c r="G30" i="22"/>
  <c r="Q24" i="24"/>
  <c r="Q62" i="24"/>
  <c r="B26" i="22"/>
  <c r="I24" i="24"/>
  <c r="C27" i="22"/>
  <c r="K24" i="24"/>
  <c r="M24" i="24"/>
  <c r="F29" i="22"/>
  <c r="O24" i="24"/>
  <c r="B32" i="24"/>
  <c r="G38" i="20"/>
  <c r="C32" i="24"/>
  <c r="D32" i="24"/>
  <c r="Y31" i="22"/>
  <c r="H31" i="22"/>
  <c r="S24" i="24"/>
  <c r="E24" i="24"/>
  <c r="T62" i="24"/>
  <c r="Q87" i="24"/>
  <c r="G31" i="22"/>
  <c r="Q25" i="24"/>
  <c r="Q63" i="24"/>
  <c r="B27" i="22"/>
  <c r="I25" i="24"/>
  <c r="C28" i="22"/>
  <c r="K25" i="24"/>
  <c r="M25" i="24"/>
  <c r="F30" i="22"/>
  <c r="O25" i="24"/>
  <c r="B33" i="24"/>
  <c r="G39" i="20"/>
  <c r="C33" i="24"/>
  <c r="D33" i="24"/>
  <c r="Y32" i="22"/>
  <c r="H32" i="22"/>
  <c r="S25" i="24"/>
  <c r="E25" i="24"/>
  <c r="T63" i="24"/>
  <c r="Q88" i="24"/>
  <c r="G32" i="22"/>
  <c r="Q26" i="24"/>
  <c r="Q64" i="24"/>
  <c r="B28" i="22"/>
  <c r="I26" i="24"/>
  <c r="C29" i="22"/>
  <c r="K26" i="24"/>
  <c r="M26" i="24"/>
  <c r="F31" i="22"/>
  <c r="O26" i="24"/>
  <c r="B34" i="24"/>
  <c r="G40" i="20"/>
  <c r="C34" i="24"/>
  <c r="D34" i="24"/>
  <c r="Y33" i="22"/>
  <c r="H33" i="22"/>
  <c r="S26" i="24"/>
  <c r="E26" i="24"/>
  <c r="T64" i="24"/>
  <c r="Q89" i="24"/>
  <c r="G33" i="22"/>
  <c r="Q27" i="24"/>
  <c r="Q65" i="24"/>
  <c r="B29" i="22"/>
  <c r="I27" i="24"/>
  <c r="C30" i="22"/>
  <c r="K27" i="24"/>
  <c r="M27" i="24"/>
  <c r="F32" i="22"/>
  <c r="O27" i="24"/>
  <c r="B35" i="24"/>
  <c r="G41" i="20"/>
  <c r="C35" i="24"/>
  <c r="D35" i="24"/>
  <c r="Y34" i="22"/>
  <c r="H34" i="22"/>
  <c r="S27" i="24"/>
  <c r="E27" i="24"/>
  <c r="T65" i="24"/>
  <c r="Q90" i="24"/>
  <c r="G34" i="22"/>
  <c r="Q28" i="24"/>
  <c r="Q66" i="24"/>
  <c r="B30" i="22"/>
  <c r="I28" i="24"/>
  <c r="C31" i="22"/>
  <c r="K28" i="24"/>
  <c r="M28" i="24"/>
  <c r="F33" i="22"/>
  <c r="O28" i="24"/>
  <c r="B36" i="24"/>
  <c r="G42" i="20"/>
  <c r="C36" i="24"/>
  <c r="D36" i="24"/>
  <c r="Y35" i="22"/>
  <c r="H35" i="22"/>
  <c r="S28" i="24"/>
  <c r="E28" i="24"/>
  <c r="T66" i="24"/>
  <c r="Q91" i="24"/>
  <c r="Q94" i="24"/>
  <c r="T53" i="24"/>
  <c r="Q53" i="24"/>
  <c r="Q15" i="24"/>
  <c r="H22" i="22"/>
  <c r="S15" i="24"/>
  <c r="E15" i="24"/>
  <c r="F15" i="24"/>
  <c r="G15" i="24"/>
  <c r="B18" i="22"/>
  <c r="I16" i="24"/>
  <c r="C19" i="22"/>
  <c r="K16" i="24"/>
  <c r="M16" i="24"/>
  <c r="I54" i="24"/>
  <c r="K54" i="24"/>
  <c r="M54" i="24"/>
  <c r="G22" i="22"/>
  <c r="Q16" i="24"/>
  <c r="Q54" i="24"/>
  <c r="O44" i="24"/>
  <c r="O69" i="24"/>
  <c r="O45" i="24"/>
  <c r="O70" i="24"/>
  <c r="O46" i="24"/>
  <c r="O71" i="24"/>
  <c r="O47" i="24"/>
  <c r="O72" i="24"/>
  <c r="O48" i="24"/>
  <c r="O73" i="24"/>
  <c r="O49" i="24"/>
  <c r="O74" i="24"/>
  <c r="O50" i="24"/>
  <c r="O75" i="24"/>
  <c r="O51" i="24"/>
  <c r="O76" i="24"/>
  <c r="O52" i="24"/>
  <c r="O77" i="24"/>
  <c r="O58" i="24"/>
  <c r="O83" i="24"/>
  <c r="O59" i="24"/>
  <c r="O84" i="24"/>
  <c r="O60" i="24"/>
  <c r="O85" i="24"/>
  <c r="O61" i="24"/>
  <c r="O86" i="24"/>
  <c r="O62" i="24"/>
  <c r="O87" i="24"/>
  <c r="O63" i="24"/>
  <c r="O88" i="24"/>
  <c r="O64" i="24"/>
  <c r="O89" i="24"/>
  <c r="O65" i="24"/>
  <c r="O90" i="24"/>
  <c r="O66" i="24"/>
  <c r="O91" i="24"/>
  <c r="O94" i="24"/>
  <c r="T54" i="24"/>
  <c r="R54" i="24"/>
  <c r="O54" i="24"/>
  <c r="O16" i="24"/>
  <c r="H23" i="22"/>
  <c r="S16" i="24"/>
  <c r="E16" i="24"/>
  <c r="F16" i="24"/>
  <c r="G16" i="24"/>
  <c r="B19" i="22"/>
  <c r="I17" i="24"/>
  <c r="C20" i="22"/>
  <c r="K17" i="24"/>
  <c r="I55" i="24"/>
  <c r="K55" i="24"/>
  <c r="F22" i="22"/>
  <c r="O17" i="24"/>
  <c r="O55" i="24"/>
  <c r="G23" i="22"/>
  <c r="Q17" i="24"/>
  <c r="Q55" i="24"/>
  <c r="M44" i="24"/>
  <c r="M69" i="24"/>
  <c r="M45" i="24"/>
  <c r="M70" i="24"/>
  <c r="M46" i="24"/>
  <c r="M71" i="24"/>
  <c r="M47" i="24"/>
  <c r="M72" i="24"/>
  <c r="M48" i="24"/>
  <c r="M73" i="24"/>
  <c r="M49" i="24"/>
  <c r="M74" i="24"/>
  <c r="M50" i="24"/>
  <c r="M75" i="24"/>
  <c r="M51" i="24"/>
  <c r="M76" i="24"/>
  <c r="M52" i="24"/>
  <c r="M77" i="24"/>
  <c r="M58" i="24"/>
  <c r="M83" i="24"/>
  <c r="M59" i="24"/>
  <c r="M84" i="24"/>
  <c r="M60" i="24"/>
  <c r="M85" i="24"/>
  <c r="M61" i="24"/>
  <c r="M86" i="24"/>
  <c r="M62" i="24"/>
  <c r="M87" i="24"/>
  <c r="M63" i="24"/>
  <c r="M88" i="24"/>
  <c r="M64" i="24"/>
  <c r="M89" i="24"/>
  <c r="M65" i="24"/>
  <c r="M90" i="24"/>
  <c r="M66" i="24"/>
  <c r="M91" i="24"/>
  <c r="M94" i="24"/>
  <c r="T55" i="24"/>
  <c r="M55" i="24"/>
  <c r="M17" i="24"/>
  <c r="H24" i="22"/>
  <c r="S17" i="24"/>
  <c r="E17" i="24"/>
  <c r="F17" i="24"/>
  <c r="G17" i="24"/>
  <c r="B20" i="22"/>
  <c r="I18" i="24"/>
  <c r="I56" i="24"/>
  <c r="M18" i="24"/>
  <c r="M56" i="24"/>
  <c r="F23" i="22"/>
  <c r="O18" i="24"/>
  <c r="O56" i="24"/>
  <c r="G24" i="22"/>
  <c r="Q18" i="24"/>
  <c r="Q56" i="24"/>
  <c r="K44" i="24"/>
  <c r="K69" i="24"/>
  <c r="K45" i="24"/>
  <c r="K70" i="24"/>
  <c r="K46" i="24"/>
  <c r="K71" i="24"/>
  <c r="K47" i="24"/>
  <c r="K72" i="24"/>
  <c r="K48" i="24"/>
  <c r="K73" i="24"/>
  <c r="K49" i="24"/>
  <c r="K74" i="24"/>
  <c r="K50" i="24"/>
  <c r="K75" i="24"/>
  <c r="K51" i="24"/>
  <c r="K76" i="24"/>
  <c r="K52" i="24"/>
  <c r="K77" i="24"/>
  <c r="K58" i="24"/>
  <c r="K83" i="24"/>
  <c r="K59" i="24"/>
  <c r="K84" i="24"/>
  <c r="K60" i="24"/>
  <c r="K85" i="24"/>
  <c r="K61" i="24"/>
  <c r="K86" i="24"/>
  <c r="K62" i="24"/>
  <c r="K87" i="24"/>
  <c r="K63" i="24"/>
  <c r="K88" i="24"/>
  <c r="K64" i="24"/>
  <c r="K89" i="24"/>
  <c r="K65" i="24"/>
  <c r="K90" i="24"/>
  <c r="K66" i="24"/>
  <c r="K91" i="24"/>
  <c r="K94" i="24"/>
  <c r="T56" i="24"/>
  <c r="K56" i="24"/>
  <c r="K18" i="24"/>
  <c r="H25" i="22"/>
  <c r="S18" i="24"/>
  <c r="E18" i="24"/>
  <c r="F18" i="24"/>
  <c r="G18" i="24"/>
  <c r="C22" i="22"/>
  <c r="K19" i="24"/>
  <c r="K57" i="24"/>
  <c r="M19" i="24"/>
  <c r="M57" i="24"/>
  <c r="F24" i="22"/>
  <c r="O19" i="24"/>
  <c r="O57" i="24"/>
  <c r="G25" i="22"/>
  <c r="Q19" i="24"/>
  <c r="Q57" i="24"/>
  <c r="I44" i="24"/>
  <c r="I69" i="24"/>
  <c r="I45" i="24"/>
  <c r="I70" i="24"/>
  <c r="I46" i="24"/>
  <c r="I71" i="24"/>
  <c r="I47" i="24"/>
  <c r="I72" i="24"/>
  <c r="I48" i="24"/>
  <c r="I73" i="24"/>
  <c r="I49" i="24"/>
  <c r="I74" i="24"/>
  <c r="I50" i="24"/>
  <c r="I75" i="24"/>
  <c r="I51" i="24"/>
  <c r="I76" i="24"/>
  <c r="I52" i="24"/>
  <c r="I77" i="24"/>
  <c r="I58" i="24"/>
  <c r="I83" i="24"/>
  <c r="I59" i="24"/>
  <c r="I84" i="24"/>
  <c r="I60" i="24"/>
  <c r="I85" i="24"/>
  <c r="I61" i="24"/>
  <c r="I86" i="24"/>
  <c r="I62" i="24"/>
  <c r="I87" i="24"/>
  <c r="I63" i="24"/>
  <c r="I88" i="24"/>
  <c r="I64" i="24"/>
  <c r="I89" i="24"/>
  <c r="I65" i="24"/>
  <c r="I90" i="24"/>
  <c r="I66" i="24"/>
  <c r="I91" i="24"/>
  <c r="I94" i="24"/>
  <c r="T57" i="24"/>
  <c r="I57" i="24"/>
  <c r="I19" i="24"/>
  <c r="H26" i="22"/>
  <c r="S19" i="24"/>
  <c r="E19" i="24"/>
  <c r="F19" i="24"/>
  <c r="G19" i="24"/>
  <c r="F20" i="24"/>
  <c r="G20" i="24"/>
  <c r="F21" i="24"/>
  <c r="G21" i="24"/>
  <c r="D22" i="24"/>
  <c r="G28" i="20"/>
  <c r="C22" i="24"/>
  <c r="B22" i="24"/>
  <c r="F22" i="24"/>
  <c r="G22" i="24"/>
  <c r="F23" i="24"/>
  <c r="G23" i="24"/>
  <c r="F24" i="24"/>
  <c r="G24" i="24"/>
  <c r="F25" i="24"/>
  <c r="G25" i="24"/>
  <c r="F26" i="24"/>
  <c r="G26" i="24"/>
  <c r="F27" i="24"/>
  <c r="G27" i="24"/>
  <c r="F28" i="24"/>
  <c r="G28" i="24"/>
  <c r="B31" i="22"/>
  <c r="I29" i="24"/>
  <c r="C32" i="22"/>
  <c r="K29" i="24"/>
  <c r="M29" i="24"/>
  <c r="F34" i="22"/>
  <c r="O29" i="24"/>
  <c r="G35" i="22"/>
  <c r="Q29" i="24"/>
  <c r="B37" i="24"/>
  <c r="G43" i="20"/>
  <c r="C37" i="24"/>
  <c r="D37" i="24"/>
  <c r="Y36" i="22"/>
  <c r="H36" i="22"/>
  <c r="S29" i="24"/>
  <c r="E29" i="24"/>
  <c r="F29" i="24"/>
  <c r="G29" i="24"/>
  <c r="B32" i="22"/>
  <c r="I30" i="24"/>
  <c r="C33" i="22"/>
  <c r="K30" i="24"/>
  <c r="M30" i="24"/>
  <c r="F35" i="22"/>
  <c r="O30" i="24"/>
  <c r="G36" i="22"/>
  <c r="Q30" i="24"/>
  <c r="B38" i="24"/>
  <c r="G44" i="20"/>
  <c r="C38" i="24"/>
  <c r="D38" i="24"/>
  <c r="Y37" i="22"/>
  <c r="H37" i="22"/>
  <c r="S30" i="24"/>
  <c r="E30" i="24"/>
  <c r="F30" i="24"/>
  <c r="G30" i="24"/>
  <c r="B33" i="22"/>
  <c r="I31" i="24"/>
  <c r="C34" i="22"/>
  <c r="K31" i="24"/>
  <c r="M31" i="24"/>
  <c r="F36" i="22"/>
  <c r="O31" i="24"/>
  <c r="G37" i="22"/>
  <c r="Q31" i="24"/>
  <c r="B39" i="24"/>
  <c r="G45" i="20"/>
  <c r="C39" i="24"/>
  <c r="D39" i="24"/>
  <c r="Y38" i="22"/>
  <c r="H38" i="22"/>
  <c r="S31" i="24"/>
  <c r="E31" i="24"/>
  <c r="F31" i="24"/>
  <c r="G31" i="24"/>
  <c r="B34" i="22"/>
  <c r="I32" i="24"/>
  <c r="C35" i="22"/>
  <c r="K32" i="24"/>
  <c r="M32" i="24"/>
  <c r="F37" i="22"/>
  <c r="O32" i="24"/>
  <c r="G38" i="22"/>
  <c r="Q32" i="24"/>
  <c r="B40" i="24"/>
  <c r="G46" i="20"/>
  <c r="C40" i="24"/>
  <c r="D40" i="24"/>
  <c r="Y39" i="22"/>
  <c r="H39" i="22"/>
  <c r="S32" i="24"/>
  <c r="E32" i="24"/>
  <c r="F32" i="24"/>
  <c r="G32" i="24"/>
  <c r="B35" i="22"/>
  <c r="I33" i="24"/>
  <c r="C36" i="22"/>
  <c r="K33" i="24"/>
  <c r="M33" i="24"/>
  <c r="F38" i="22"/>
  <c r="O33" i="24"/>
  <c r="G39" i="22"/>
  <c r="Q33" i="24"/>
  <c r="E33" i="24"/>
  <c r="F33" i="24"/>
  <c r="G33" i="24"/>
  <c r="B36" i="22"/>
  <c r="I34" i="24"/>
  <c r="C37" i="22"/>
  <c r="K34" i="24"/>
  <c r="M34" i="24"/>
  <c r="F39" i="22"/>
  <c r="O34" i="24"/>
  <c r="E34" i="24"/>
  <c r="F34" i="24"/>
  <c r="G34" i="24"/>
  <c r="AA25" i="24" a="1"/>
  <c r="AB29" i="24"/>
  <c r="B6" i="23"/>
  <c r="B7" i="23"/>
  <c r="B8" i="23"/>
  <c r="B9" i="23"/>
  <c r="C9" i="23"/>
  <c r="D9" i="23"/>
  <c r="I6" i="23"/>
  <c r="B10" i="23"/>
  <c r="C10" i="23"/>
  <c r="D10" i="23"/>
  <c r="K6" i="23"/>
  <c r="B11" i="23"/>
  <c r="C11" i="23"/>
  <c r="D11" i="23"/>
  <c r="B12" i="23"/>
  <c r="C12" i="23"/>
  <c r="D12" i="23"/>
  <c r="O6" i="23"/>
  <c r="B13" i="23"/>
  <c r="C13" i="23"/>
  <c r="D13" i="23"/>
  <c r="Q6" i="23"/>
  <c r="B14" i="23"/>
  <c r="C14" i="23"/>
  <c r="D14" i="23"/>
  <c r="S6" i="23"/>
  <c r="F6" i="23"/>
  <c r="G6" i="23"/>
  <c r="I7" i="23"/>
  <c r="K7" i="23"/>
  <c r="O7" i="23"/>
  <c r="Q7" i="23"/>
  <c r="B15" i="23"/>
  <c r="C15" i="23"/>
  <c r="D15" i="23"/>
  <c r="S7" i="23"/>
  <c r="F7" i="23"/>
  <c r="G7" i="23"/>
  <c r="I8" i="23"/>
  <c r="K8" i="23"/>
  <c r="O8" i="23"/>
  <c r="Q8" i="23"/>
  <c r="B16" i="23"/>
  <c r="C16" i="23"/>
  <c r="D16" i="23"/>
  <c r="S8" i="23"/>
  <c r="F8" i="23"/>
  <c r="G8" i="23"/>
  <c r="I9" i="23"/>
  <c r="K9" i="23"/>
  <c r="O9" i="23"/>
  <c r="Q9" i="23"/>
  <c r="B17" i="23"/>
  <c r="C17" i="23"/>
  <c r="D17" i="23"/>
  <c r="S9" i="23"/>
  <c r="F9" i="23"/>
  <c r="G9" i="23"/>
  <c r="I10" i="23"/>
  <c r="K10" i="23"/>
  <c r="O10" i="23"/>
  <c r="Q10" i="23"/>
  <c r="B18" i="23"/>
  <c r="C18" i="23"/>
  <c r="D18" i="23"/>
  <c r="S10" i="23"/>
  <c r="F10" i="23"/>
  <c r="G10" i="23"/>
  <c r="I11" i="23"/>
  <c r="K11" i="23"/>
  <c r="O11" i="23"/>
  <c r="Q11" i="23"/>
  <c r="B19" i="23"/>
  <c r="C19" i="23"/>
  <c r="D19" i="23"/>
  <c r="S11" i="23"/>
  <c r="F11" i="23"/>
  <c r="G11" i="23"/>
  <c r="I12" i="23"/>
  <c r="K12" i="23"/>
  <c r="O12" i="23"/>
  <c r="Q12" i="23"/>
  <c r="B20" i="23"/>
  <c r="C20" i="23"/>
  <c r="D20" i="23"/>
  <c r="S12" i="23"/>
  <c r="F12" i="23"/>
  <c r="G12" i="23"/>
  <c r="I13" i="23"/>
  <c r="K13" i="23"/>
  <c r="O13" i="23"/>
  <c r="Q13" i="23"/>
  <c r="B21" i="23"/>
  <c r="C21" i="23"/>
  <c r="D21" i="23"/>
  <c r="S13" i="23"/>
  <c r="F13" i="23"/>
  <c r="G13" i="23"/>
  <c r="I14" i="23"/>
  <c r="K14" i="23"/>
  <c r="O14" i="23"/>
  <c r="Q14" i="23"/>
  <c r="B22" i="23"/>
  <c r="C22" i="23"/>
  <c r="D22" i="23"/>
  <c r="Y5" i="22"/>
  <c r="H5" i="22"/>
  <c r="Y6" i="22"/>
  <c r="H6" i="22"/>
  <c r="Y7" i="22"/>
  <c r="H7" i="22"/>
  <c r="H8" i="22"/>
  <c r="H9" i="22"/>
  <c r="H10" i="22"/>
  <c r="H11" i="22"/>
  <c r="H12" i="22"/>
  <c r="H41" i="22"/>
  <c r="S14" i="23"/>
  <c r="F14" i="23"/>
  <c r="G14" i="23"/>
  <c r="I15" i="23"/>
  <c r="K15" i="23"/>
  <c r="O15" i="23"/>
  <c r="G5" i="22"/>
  <c r="G6" i="22"/>
  <c r="G7" i="22"/>
  <c r="G8" i="22"/>
  <c r="G9" i="22"/>
  <c r="G10" i="22"/>
  <c r="G11" i="22"/>
  <c r="G41" i="22"/>
  <c r="Q15" i="23"/>
  <c r="B23" i="23"/>
  <c r="C23" i="23"/>
  <c r="D23" i="23"/>
  <c r="S15" i="23"/>
  <c r="F15" i="23"/>
  <c r="G15" i="23"/>
  <c r="I16" i="23"/>
  <c r="K16" i="23"/>
  <c r="F5" i="22"/>
  <c r="F6" i="22"/>
  <c r="F7" i="22"/>
  <c r="F8" i="22"/>
  <c r="F9" i="22"/>
  <c r="F10" i="22"/>
  <c r="F41" i="22"/>
  <c r="O16" i="23"/>
  <c r="Q16" i="23"/>
  <c r="B24" i="23"/>
  <c r="C24" i="23"/>
  <c r="D24" i="23"/>
  <c r="S16" i="23"/>
  <c r="F16" i="23"/>
  <c r="G16" i="23"/>
  <c r="I17" i="23"/>
  <c r="K17" i="23"/>
  <c r="D41" i="22"/>
  <c r="O17" i="23"/>
  <c r="Q17" i="23"/>
  <c r="B25" i="23"/>
  <c r="C25" i="23"/>
  <c r="D25" i="23"/>
  <c r="S17" i="23"/>
  <c r="F17" i="23"/>
  <c r="G17" i="23"/>
  <c r="I18" i="23"/>
  <c r="C5" i="22"/>
  <c r="C6" i="22"/>
  <c r="C7" i="22"/>
  <c r="C8" i="22"/>
  <c r="C41" i="22"/>
  <c r="K18" i="23"/>
  <c r="O18" i="23"/>
  <c r="Q18" i="23"/>
  <c r="B26" i="23"/>
  <c r="C26" i="23"/>
  <c r="D26" i="23"/>
  <c r="S18" i="23"/>
  <c r="F18" i="23"/>
  <c r="G18" i="23"/>
  <c r="B5" i="22"/>
  <c r="B6" i="22"/>
  <c r="B7" i="22"/>
  <c r="B41" i="22"/>
  <c r="I19" i="23"/>
  <c r="K19" i="23"/>
  <c r="O19" i="23"/>
  <c r="Q19" i="23"/>
  <c r="B27" i="23"/>
  <c r="C27" i="23"/>
  <c r="D27" i="23"/>
  <c r="S19" i="23"/>
  <c r="F19" i="23"/>
  <c r="G19" i="23"/>
  <c r="I20" i="23"/>
  <c r="K20" i="23"/>
  <c r="O20" i="23"/>
  <c r="Q20" i="23"/>
  <c r="B28" i="23"/>
  <c r="C28" i="23"/>
  <c r="D28" i="23"/>
  <c r="S20" i="23"/>
  <c r="F20" i="23"/>
  <c r="G20" i="23"/>
  <c r="I21" i="23"/>
  <c r="K21" i="23"/>
  <c r="O21" i="23"/>
  <c r="Q21" i="23"/>
  <c r="B29" i="23"/>
  <c r="C29" i="23"/>
  <c r="D29" i="23"/>
  <c r="S21" i="23"/>
  <c r="F21" i="23"/>
  <c r="G21" i="23"/>
  <c r="I22" i="23"/>
  <c r="K22" i="23"/>
  <c r="O22" i="23"/>
  <c r="Q22" i="23"/>
  <c r="B30" i="23"/>
  <c r="C30" i="23"/>
  <c r="D30" i="23"/>
  <c r="S22" i="23"/>
  <c r="F22" i="23"/>
  <c r="G22" i="23"/>
  <c r="I23" i="23"/>
  <c r="K23" i="23"/>
  <c r="O23" i="23"/>
  <c r="Q23" i="23"/>
  <c r="B31" i="23"/>
  <c r="C31" i="23"/>
  <c r="D31" i="23"/>
  <c r="S23" i="23"/>
  <c r="F23" i="23"/>
  <c r="G23" i="23"/>
  <c r="I24" i="23"/>
  <c r="K24" i="23"/>
  <c r="O24" i="23"/>
  <c r="Q24" i="23"/>
  <c r="B32" i="23"/>
  <c r="C32" i="23"/>
  <c r="D32" i="23"/>
  <c r="S24" i="23"/>
  <c r="F24" i="23"/>
  <c r="G24" i="23"/>
  <c r="I25" i="23"/>
  <c r="K25" i="23"/>
  <c r="O25" i="23"/>
  <c r="Q25" i="23"/>
  <c r="B33" i="23"/>
  <c r="C33" i="23"/>
  <c r="D33" i="23"/>
  <c r="S25" i="23"/>
  <c r="F25" i="23"/>
  <c r="G25" i="23"/>
  <c r="I26" i="23"/>
  <c r="K26" i="23"/>
  <c r="O26" i="23"/>
  <c r="Q26" i="23"/>
  <c r="B34" i="23"/>
  <c r="C34" i="23"/>
  <c r="D34" i="23"/>
  <c r="S26" i="23"/>
  <c r="F26" i="23"/>
  <c r="G26" i="23"/>
  <c r="I27" i="23"/>
  <c r="K27" i="23"/>
  <c r="O27" i="23"/>
  <c r="Q27" i="23"/>
  <c r="B35" i="23"/>
  <c r="C35" i="23"/>
  <c r="D35" i="23"/>
  <c r="S27" i="23"/>
  <c r="F27" i="23"/>
  <c r="G27" i="23"/>
  <c r="I28" i="23"/>
  <c r="K28" i="23"/>
  <c r="O28" i="23"/>
  <c r="Q28" i="23"/>
  <c r="B36" i="23"/>
  <c r="C36" i="23"/>
  <c r="D36" i="23"/>
  <c r="S28" i="23"/>
  <c r="F28" i="23"/>
  <c r="G28" i="23"/>
  <c r="I29" i="23"/>
  <c r="K29" i="23"/>
  <c r="O29" i="23"/>
  <c r="Q29" i="23"/>
  <c r="B37" i="23"/>
  <c r="C37" i="23"/>
  <c r="D37" i="23"/>
  <c r="S29" i="23"/>
  <c r="F29" i="23"/>
  <c r="G29" i="23"/>
  <c r="I30" i="23"/>
  <c r="K30" i="23"/>
  <c r="O30" i="23"/>
  <c r="Q30" i="23"/>
  <c r="B38" i="23"/>
  <c r="C38" i="23"/>
  <c r="D38" i="23"/>
  <c r="S30" i="23"/>
  <c r="F30" i="23"/>
  <c r="G30" i="23"/>
  <c r="I31" i="23"/>
  <c r="K31" i="23"/>
  <c r="O31" i="23"/>
  <c r="Q31" i="23"/>
  <c r="B39" i="23"/>
  <c r="C39" i="23"/>
  <c r="D39" i="23"/>
  <c r="S31" i="23"/>
  <c r="F31" i="23"/>
  <c r="G31" i="23"/>
  <c r="I32" i="23"/>
  <c r="K32" i="23"/>
  <c r="O32" i="23"/>
  <c r="Q32" i="23"/>
  <c r="B40" i="23"/>
  <c r="C40" i="23"/>
  <c r="D40" i="23"/>
  <c r="S32" i="23"/>
  <c r="F32" i="23"/>
  <c r="G32" i="23"/>
  <c r="I33" i="23"/>
  <c r="K33" i="23"/>
  <c r="O33" i="23"/>
  <c r="Q33" i="23"/>
  <c r="F33" i="23"/>
  <c r="G33" i="23"/>
  <c r="I34" i="23"/>
  <c r="K34" i="23"/>
  <c r="O34" i="23"/>
  <c r="F34" i="23"/>
  <c r="G34" i="23"/>
  <c r="AA25" i="23" a="1"/>
  <c r="AB29" i="23"/>
  <c r="V34" i="24"/>
  <c r="W34" i="24"/>
  <c r="M35" i="24"/>
  <c r="C39" i="22"/>
  <c r="K36" i="24"/>
  <c r="B39" i="22"/>
  <c r="I37" i="24"/>
  <c r="V34" i="23"/>
  <c r="Z39" i="22"/>
  <c r="H46" i="20"/>
  <c r="I46" i="20"/>
  <c r="AA26" i="24"/>
  <c r="AA28" i="24"/>
  <c r="AA25" i="24"/>
  <c r="AB26" i="24"/>
  <c r="AB28" i="24"/>
  <c r="AA29" i="24"/>
  <c r="AA27" i="24"/>
  <c r="AB25" i="24"/>
  <c r="AB27" i="24"/>
  <c r="AA26" i="23"/>
  <c r="AA28" i="23"/>
  <c r="AA25" i="23"/>
  <c r="AB26" i="23"/>
  <c r="AB28" i="23"/>
  <c r="AA29" i="23"/>
  <c r="AA27" i="23"/>
  <c r="AB25" i="23"/>
  <c r="AB27" i="23"/>
  <c r="K36" i="23"/>
  <c r="I37" i="23"/>
  <c r="B37" i="22"/>
  <c r="I35" i="24"/>
  <c r="Z36" i="22"/>
  <c r="B38" i="22"/>
  <c r="C38" i="22"/>
  <c r="Z38" i="22"/>
  <c r="Z37" i="22"/>
  <c r="I35" i="23"/>
  <c r="H44" i="20"/>
  <c r="I44" i="20"/>
  <c r="H45" i="20"/>
  <c r="I45" i="20"/>
  <c r="H43" i="20"/>
  <c r="I43" i="20"/>
  <c r="H42" i="20"/>
  <c r="I36" i="23"/>
  <c r="K35" i="23"/>
  <c r="K35" i="24"/>
  <c r="I36" i="24"/>
  <c r="H41" i="20"/>
  <c r="I41" i="20"/>
  <c r="I42" i="20"/>
  <c r="Z34" i="22"/>
  <c r="H28" i="20"/>
  <c r="G13" i="20"/>
  <c r="H13" i="20"/>
  <c r="G14" i="20"/>
  <c r="H14" i="20"/>
  <c r="H15" i="20"/>
  <c r="H16" i="20"/>
  <c r="H17" i="20"/>
  <c r="H18" i="20"/>
  <c r="H19" i="20"/>
  <c r="H20" i="20"/>
  <c r="H21" i="20"/>
  <c r="H22" i="20"/>
  <c r="H23" i="20"/>
  <c r="H24" i="20"/>
  <c r="H25" i="20"/>
  <c r="H26" i="20"/>
  <c r="H27" i="20"/>
  <c r="H29" i="20"/>
  <c r="H30" i="20"/>
  <c r="H31" i="20"/>
  <c r="H32" i="20"/>
  <c r="H33" i="20"/>
  <c r="H34" i="20"/>
  <c r="H35" i="20"/>
  <c r="H36" i="20"/>
  <c r="H37" i="20"/>
  <c r="H38" i="20"/>
  <c r="H39" i="20"/>
  <c r="H40" i="20"/>
  <c r="G12" i="20"/>
  <c r="H12" i="20"/>
  <c r="W34" i="23"/>
  <c r="Z35" i="22"/>
  <c r="S66" i="24"/>
  <c r="S65" i="24"/>
  <c r="R66" i="24"/>
  <c r="P66" i="24"/>
  <c r="N66" i="24"/>
  <c r="L66" i="24"/>
  <c r="J66" i="24"/>
  <c r="H66" i="24"/>
  <c r="R65" i="24"/>
  <c r="P65" i="24"/>
  <c r="N65" i="24"/>
  <c r="L65" i="24"/>
  <c r="J65" i="24"/>
  <c r="H65" i="24"/>
  <c r="R64" i="24"/>
  <c r="P64" i="24"/>
  <c r="N64" i="24"/>
  <c r="L64" i="24"/>
  <c r="J64" i="24"/>
  <c r="H64" i="24"/>
  <c r="R63" i="24"/>
  <c r="P63" i="24"/>
  <c r="N63" i="24"/>
  <c r="L63" i="24"/>
  <c r="J63" i="24"/>
  <c r="H63" i="24"/>
  <c r="R62" i="24"/>
  <c r="P62" i="24"/>
  <c r="N62" i="24"/>
  <c r="L62" i="24"/>
  <c r="J62" i="24"/>
  <c r="H62" i="24"/>
  <c r="R61" i="24"/>
  <c r="P61" i="24"/>
  <c r="N61" i="24"/>
  <c r="L61" i="24"/>
  <c r="J61" i="24"/>
  <c r="H61" i="24"/>
  <c r="R60" i="24"/>
  <c r="P60" i="24"/>
  <c r="N60" i="24"/>
  <c r="L60" i="24"/>
  <c r="J60" i="24"/>
  <c r="H60" i="24"/>
  <c r="R59" i="24"/>
  <c r="P59" i="24"/>
  <c r="N59" i="24"/>
  <c r="L59" i="24"/>
  <c r="J59" i="24"/>
  <c r="H59" i="24"/>
  <c r="R58" i="24"/>
  <c r="P58" i="24"/>
  <c r="N58" i="24"/>
  <c r="L58" i="24"/>
  <c r="J58" i="24"/>
  <c r="H58" i="24"/>
  <c r="R57" i="24"/>
  <c r="P57" i="24"/>
  <c r="N57" i="24"/>
  <c r="L57" i="24"/>
  <c r="J57" i="24"/>
  <c r="H57" i="24"/>
  <c r="R56" i="24"/>
  <c r="P56" i="24"/>
  <c r="N56" i="24"/>
  <c r="L56" i="24"/>
  <c r="J56" i="24"/>
  <c r="H56" i="24"/>
  <c r="R55" i="24"/>
  <c r="P55" i="24"/>
  <c r="N55" i="24"/>
  <c r="L55" i="24"/>
  <c r="J55" i="24"/>
  <c r="H55" i="24"/>
  <c r="P54" i="24"/>
  <c r="N54" i="24"/>
  <c r="L54" i="24"/>
  <c r="J54" i="24"/>
  <c r="H54" i="24"/>
  <c r="R53" i="24"/>
  <c r="P53" i="24"/>
  <c r="N53" i="24"/>
  <c r="L53" i="24"/>
  <c r="J53" i="24"/>
  <c r="H53" i="24"/>
  <c r="R52" i="24"/>
  <c r="P52" i="24"/>
  <c r="N52" i="24"/>
  <c r="L52" i="24"/>
  <c r="J52" i="24"/>
  <c r="H52" i="24"/>
  <c r="R51" i="24"/>
  <c r="P51" i="24"/>
  <c r="N51" i="24"/>
  <c r="L51" i="24"/>
  <c r="J51" i="24"/>
  <c r="H51" i="24"/>
  <c r="R50" i="24"/>
  <c r="P50" i="24"/>
  <c r="N50" i="24"/>
  <c r="L50" i="24"/>
  <c r="J50" i="24"/>
  <c r="H50" i="24"/>
  <c r="R49" i="24"/>
  <c r="P49" i="24"/>
  <c r="N49" i="24"/>
  <c r="L49" i="24"/>
  <c r="J49" i="24"/>
  <c r="H49" i="24"/>
  <c r="R48" i="24"/>
  <c r="P48" i="24"/>
  <c r="N48" i="24"/>
  <c r="L48" i="24"/>
  <c r="J48" i="24"/>
  <c r="H48" i="24"/>
  <c r="R47" i="24"/>
  <c r="P47" i="24"/>
  <c r="N47" i="24"/>
  <c r="L47" i="24"/>
  <c r="J47" i="24"/>
  <c r="H47" i="24"/>
  <c r="R46" i="24"/>
  <c r="P46" i="24"/>
  <c r="N46" i="24"/>
  <c r="L46" i="24"/>
  <c r="J46" i="24"/>
  <c r="H46" i="24"/>
  <c r="R45" i="24"/>
  <c r="P45" i="24"/>
  <c r="N45" i="24"/>
  <c r="L45" i="24"/>
  <c r="J45" i="24"/>
  <c r="H45" i="24"/>
  <c r="R44" i="24"/>
  <c r="P44" i="24"/>
  <c r="N44" i="24"/>
  <c r="L44" i="24"/>
  <c r="J44" i="24"/>
  <c r="H44" i="24"/>
  <c r="S43" i="24"/>
  <c r="Q43" i="24"/>
  <c r="O43" i="24"/>
  <c r="M43" i="24"/>
  <c r="K43" i="24"/>
  <c r="I43" i="24"/>
  <c r="V33" i="24"/>
  <c r="V32" i="24"/>
  <c r="V31" i="24"/>
  <c r="V30" i="24"/>
  <c r="V29" i="24"/>
  <c r="V28" i="24"/>
  <c r="V26" i="24"/>
  <c r="V25" i="24"/>
  <c r="V24" i="24"/>
  <c r="V23" i="24"/>
  <c r="V21" i="24"/>
  <c r="V20" i="24"/>
  <c r="V19" i="24"/>
  <c r="V18" i="24"/>
  <c r="V17" i="24"/>
  <c r="V16" i="24"/>
  <c r="V15" i="24"/>
  <c r="V14" i="24"/>
  <c r="V13" i="24"/>
  <c r="V12" i="24"/>
  <c r="V11" i="24"/>
  <c r="V10" i="24"/>
  <c r="V9" i="24"/>
  <c r="C8" i="24"/>
  <c r="V8" i="24"/>
  <c r="C7" i="24"/>
  <c r="V7" i="24"/>
  <c r="C6" i="24"/>
  <c r="W33" i="24"/>
  <c r="W32" i="23"/>
  <c r="W33" i="23"/>
  <c r="V27" i="24"/>
  <c r="V6" i="24"/>
  <c r="D6" i="24"/>
  <c r="D7" i="24"/>
  <c r="D8" i="24"/>
  <c r="W32" i="24"/>
  <c r="S52" i="24"/>
  <c r="I13" i="20"/>
  <c r="I14" i="20"/>
  <c r="I15" i="20"/>
  <c r="I16" i="20"/>
  <c r="I17" i="20"/>
  <c r="I18" i="20"/>
  <c r="I19" i="20"/>
  <c r="I20" i="20"/>
  <c r="I12" i="20"/>
  <c r="S44" i="24"/>
  <c r="S45" i="24"/>
  <c r="S46" i="24"/>
  <c r="S47" i="24"/>
  <c r="S48" i="24"/>
  <c r="S49" i="24"/>
  <c r="S50" i="24"/>
  <c r="S51" i="24"/>
  <c r="S53" i="24"/>
  <c r="S54" i="24"/>
  <c r="S55" i="24"/>
  <c r="S56" i="24"/>
  <c r="C7" i="23"/>
  <c r="C8" i="23"/>
  <c r="C6" i="23"/>
  <c r="D8" i="23"/>
  <c r="V27" i="23"/>
  <c r="V29" i="23"/>
  <c r="V30" i="23"/>
  <c r="V31" i="23"/>
  <c r="I22" i="20"/>
  <c r="I23" i="20"/>
  <c r="I24" i="20"/>
  <c r="I25" i="20"/>
  <c r="I26" i="20"/>
  <c r="I27" i="20"/>
  <c r="I28" i="20"/>
  <c r="I29" i="20"/>
  <c r="I30" i="20"/>
  <c r="I31" i="20"/>
  <c r="I32" i="20"/>
  <c r="I21" i="20"/>
  <c r="V33" i="23"/>
  <c r="V32" i="23"/>
  <c r="I40" i="20"/>
  <c r="I38" i="20"/>
  <c r="I36" i="20"/>
  <c r="I34" i="20"/>
  <c r="I33" i="20"/>
  <c r="I39" i="20"/>
  <c r="AA41" i="23"/>
  <c r="D7" i="23"/>
  <c r="V6" i="23"/>
  <c r="V26" i="23"/>
  <c r="V25" i="23"/>
  <c r="V24" i="23"/>
  <c r="V23" i="23"/>
  <c r="V22" i="23"/>
  <c r="V21" i="23"/>
  <c r="V20" i="23"/>
  <c r="V19" i="23"/>
  <c r="V18" i="23"/>
  <c r="V17" i="23"/>
  <c r="V16" i="23"/>
  <c r="V15" i="23"/>
  <c r="V14" i="23"/>
  <c r="V13" i="23"/>
  <c r="V12" i="23"/>
  <c r="V11" i="23"/>
  <c r="V10" i="23"/>
  <c r="V9" i="23"/>
  <c r="V8" i="23"/>
  <c r="V7" i="23"/>
  <c r="V28" i="23"/>
  <c r="I37" i="20"/>
  <c r="I35" i="20"/>
  <c r="Z31" i="22"/>
  <c r="D6" i="23"/>
  <c r="S59" i="24"/>
  <c r="S61" i="24"/>
  <c r="S63" i="24"/>
  <c r="S57" i="24"/>
  <c r="S58" i="24"/>
  <c r="S60" i="24"/>
  <c r="S62" i="24"/>
  <c r="S64" i="24"/>
  <c r="Z5" i="22"/>
  <c r="Z6" i="22"/>
  <c r="Z10" i="22"/>
  <c r="Z14" i="22"/>
  <c r="Z18" i="22"/>
  <c r="Z23" i="22"/>
  <c r="Z27" i="22"/>
  <c r="Z24" i="22"/>
  <c r="Z28" i="22"/>
  <c r="Z32" i="22"/>
  <c r="Z7" i="22"/>
  <c r="Z11" i="22"/>
  <c r="Z15" i="22"/>
  <c r="Z19" i="22"/>
  <c r="Z8" i="22"/>
  <c r="Z12" i="22"/>
  <c r="Z16" i="22"/>
  <c r="Z20" i="22"/>
  <c r="Z25" i="22"/>
  <c r="Z29" i="22"/>
  <c r="Z33" i="22"/>
  <c r="Z22" i="22"/>
  <c r="Z26" i="22"/>
  <c r="Z30" i="22"/>
  <c r="Z9" i="22"/>
  <c r="Z13" i="22"/>
  <c r="Z17" i="22"/>
  <c r="W31" i="23"/>
  <c r="W31" i="24"/>
  <c r="W7" i="24"/>
  <c r="W11" i="24"/>
  <c r="W6" i="24"/>
  <c r="W13" i="24"/>
  <c r="W8" i="24"/>
  <c r="W12" i="24"/>
  <c r="W10" i="24"/>
  <c r="W14" i="24"/>
  <c r="W9" i="24"/>
  <c r="W15" i="23"/>
  <c r="W10" i="23"/>
  <c r="W12" i="23"/>
  <c r="W14" i="23"/>
  <c r="W18" i="23"/>
  <c r="W17" i="23"/>
  <c r="W16" i="23"/>
  <c r="W13" i="23"/>
  <c r="W19" i="23"/>
  <c r="W11" i="23"/>
  <c r="W30" i="23"/>
  <c r="S73" i="24"/>
  <c r="S71" i="24"/>
  <c r="S69" i="24"/>
  <c r="S77" i="24"/>
  <c r="S72" i="24"/>
  <c r="S74" i="24"/>
  <c r="S70" i="24"/>
  <c r="S75" i="24"/>
  <c r="S76" i="24"/>
  <c r="W9" i="23"/>
  <c r="W29" i="23"/>
  <c r="W29" i="24"/>
  <c r="W30" i="24"/>
  <c r="W7" i="23"/>
  <c r="W6" i="23"/>
  <c r="W8" i="23"/>
  <c r="W20" i="23"/>
  <c r="W20" i="24"/>
  <c r="W28" i="24"/>
  <c r="W25" i="24"/>
  <c r="W26" i="24"/>
  <c r="W27" i="24"/>
  <c r="W22" i="24"/>
  <c r="W24" i="24"/>
  <c r="W21" i="24"/>
  <c r="W23" i="24"/>
  <c r="W27" i="23"/>
  <c r="W24" i="23"/>
  <c r="W26" i="23"/>
  <c r="W28" i="23"/>
  <c r="W22" i="23"/>
  <c r="W23" i="23"/>
  <c r="W21" i="23"/>
  <c r="W25" i="23"/>
  <c r="S84" i="24"/>
  <c r="S85" i="24"/>
  <c r="S88" i="24"/>
  <c r="S91" i="24"/>
  <c r="S83" i="24"/>
  <c r="S86" i="24"/>
  <c r="S87" i="24"/>
  <c r="S90" i="24"/>
  <c r="S89" i="24"/>
  <c r="Q93" i="24"/>
  <c r="K93" i="24"/>
  <c r="O93" i="24"/>
  <c r="S93" i="24"/>
  <c r="S94" i="24"/>
  <c r="M93" i="24"/>
  <c r="I93" i="24"/>
  <c r="W16" i="24"/>
  <c r="W18" i="24"/>
  <c r="W17" i="24"/>
  <c r="W15" i="24"/>
  <c r="AA34" i="23"/>
  <c r="AA33" i="23"/>
  <c r="AA36" i="23"/>
  <c r="AA32" i="23"/>
  <c r="W19" i="24"/>
  <c r="V22" i="24"/>
  <c r="AA41" i="24"/>
  <c r="AA35" i="23"/>
  <c r="AA39" i="23"/>
  <c r="AA37" i="23"/>
  <c r="AA38" i="23"/>
  <c r="AA40" i="23"/>
  <c r="AA32" i="24"/>
  <c r="AA34" i="24"/>
  <c r="AA33" i="24"/>
  <c r="AA36" i="24"/>
  <c r="AA35" i="24"/>
  <c r="AA39" i="24"/>
  <c r="AA37" i="24"/>
  <c r="AA38" i="24"/>
  <c r="AA40" i="24"/>
</calcChain>
</file>

<file path=xl/comments1.xml><?xml version="1.0" encoding="utf-8"?>
<comments xmlns="http://schemas.openxmlformats.org/spreadsheetml/2006/main">
  <authors>
    <author>Heinl, Steve (DFG)</author>
  </authors>
  <commentList>
    <comment ref="D46" authorId="0">
      <text>
        <r>
          <rPr>
            <b/>
            <sz val="9"/>
            <color indexed="81"/>
            <rFont val="Tahoma"/>
            <family val="2"/>
          </rPr>
          <t>Heinl, Steve (DFG):</t>
        </r>
        <r>
          <rPr>
            <sz val="9"/>
            <color indexed="81"/>
            <rFont val="Tahoma"/>
            <family val="2"/>
          </rPr>
          <t xml:space="preserve">
2016 harvest as of 1-20-2017.</t>
        </r>
      </text>
    </comment>
  </commentList>
</comments>
</file>

<file path=xl/sharedStrings.xml><?xml version="1.0" encoding="utf-8"?>
<sst xmlns="http://schemas.openxmlformats.org/spreadsheetml/2006/main" count="381" uniqueCount="197">
  <si>
    <t>Year</t>
  </si>
  <si>
    <t>Escapement</t>
  </si>
  <si>
    <t>Lower</t>
  </si>
  <si>
    <t>Upper</t>
  </si>
  <si>
    <t>OEG (2003)</t>
  </si>
  <si>
    <t>Adult</t>
  </si>
  <si>
    <t>Weir</t>
  </si>
  <si>
    <t>Count</t>
  </si>
  <si>
    <t>Estimate</t>
  </si>
  <si>
    <t>Subsistence</t>
  </si>
  <si>
    <t>Harvest</t>
  </si>
  <si>
    <t>Sportfish</t>
  </si>
  <si>
    <t>Survey</t>
  </si>
  <si>
    <t>Total</t>
  </si>
  <si>
    <t>Return</t>
  </si>
  <si>
    <t>Species</t>
  </si>
  <si>
    <t>Number</t>
  </si>
  <si>
    <t>Fert (tons)</t>
  </si>
  <si>
    <t>Total P (kg)</t>
  </si>
  <si>
    <t>Activity</t>
  </si>
  <si>
    <t>Fry Stocking Activity</t>
  </si>
  <si>
    <t>Fertilizer Activity</t>
  </si>
  <si>
    <t>Other Enhancement Activity</t>
  </si>
  <si>
    <t>---</t>
  </si>
  <si>
    <t>Full</t>
  </si>
  <si>
    <t>Limnology</t>
  </si>
  <si>
    <t>No</t>
  </si>
  <si>
    <t>Yes</t>
  </si>
  <si>
    <t>Sockeye</t>
  </si>
  <si>
    <t>Fry Stocking</t>
  </si>
  <si>
    <t>Chinook</t>
  </si>
  <si>
    <t>NOTES:</t>
  </si>
  <si>
    <t>Run</t>
  </si>
  <si>
    <t>02</t>
  </si>
  <si>
    <t>03</t>
  </si>
  <si>
    <t>11</t>
  </si>
  <si>
    <t>12</t>
  </si>
  <si>
    <t>13</t>
  </si>
  <si>
    <t>14</t>
  </si>
  <si>
    <t>21</t>
  </si>
  <si>
    <t>22</t>
  </si>
  <si>
    <t>23</t>
  </si>
  <si>
    <t>24</t>
  </si>
  <si>
    <t>31</t>
  </si>
  <si>
    <t>32</t>
  </si>
  <si>
    <t>33</t>
  </si>
  <si>
    <t>34</t>
  </si>
  <si>
    <t>42</t>
  </si>
  <si>
    <t>age 3</t>
  </si>
  <si>
    <t>age 4</t>
  </si>
  <si>
    <t>age 5</t>
  </si>
  <si>
    <t>age 6</t>
  </si>
  <si>
    <t>age 7</t>
  </si>
  <si>
    <t>age 8</t>
  </si>
  <si>
    <t>Aged</t>
  </si>
  <si>
    <t>Estimated Return by Year:</t>
  </si>
  <si>
    <t>Rate</t>
  </si>
  <si>
    <t>R/S</t>
  </si>
  <si>
    <t>Liquid fertilizer applied by boat from 1984 to 1995; dry granular fertilizer (Monoammonium Phosphate NPK ratio 12:61:0) suspended in bags and applied to beaches from 1999 to 2010.</t>
  </si>
  <si>
    <t>Redoubt Lake sockeye salmon:</t>
  </si>
  <si>
    <t>Total Age</t>
  </si>
  <si>
    <t>Age 3</t>
  </si>
  <si>
    <t>Age 4</t>
  </si>
  <si>
    <t>Age 5</t>
  </si>
  <si>
    <t>Age 6</t>
  </si>
  <si>
    <t>Age 7</t>
  </si>
  <si>
    <t>Age 8</t>
  </si>
  <si>
    <t>AWL SAMPLE SIZES BY AGE CLASS:</t>
  </si>
  <si>
    <t>Not</t>
  </si>
  <si>
    <t>1982-2001 average</t>
  </si>
  <si>
    <t>Incomplete</t>
  </si>
  <si>
    <t>Commercial</t>
  </si>
  <si>
    <t>Ln R/S</t>
  </si>
  <si>
    <t>S</t>
  </si>
  <si>
    <t>R</t>
  </si>
  <si>
    <t>EXPANSION FOR AGE AT RETURN:</t>
  </si>
  <si>
    <t>Average</t>
  </si>
  <si>
    <t>Median</t>
  </si>
  <si>
    <t>Age composition values for 1998 escapement based on average of 1982-2001 data (Geiger 2003)</t>
  </si>
  <si>
    <t>function LINEST</t>
  </si>
  <si>
    <t>slope</t>
  </si>
  <si>
    <t>intercept</t>
  </si>
  <si>
    <t>SE</t>
  </si>
  <si>
    <t>r-sq</t>
  </si>
  <si>
    <t>RMSE</t>
  </si>
  <si>
    <t>F</t>
  </si>
  <si>
    <t>df</t>
  </si>
  <si>
    <t>SSR</t>
  </si>
  <si>
    <t>SSE</t>
  </si>
  <si>
    <t>ln(alpha^)</t>
  </si>
  <si>
    <t>beta^</t>
  </si>
  <si>
    <t>sigma^</t>
  </si>
  <si>
    <t>lnalpha'</t>
  </si>
  <si>
    <t>Smax^</t>
  </si>
  <si>
    <t>Seq^</t>
  </si>
  <si>
    <t>Smsy^</t>
  </si>
  <si>
    <t>Umsy^</t>
  </si>
  <si>
    <t>S Contrast</t>
  </si>
  <si>
    <t>lnalpha^</t>
  </si>
  <si>
    <t>MSY^</t>
  </si>
  <si>
    <t>ND</t>
  </si>
  <si>
    <r>
      <rPr>
        <b/>
        <sz val="12"/>
        <color rgb="FFFF0000"/>
        <rFont val="Calibri"/>
        <family val="2"/>
        <scheme val="minor"/>
      </rPr>
      <t>RED</t>
    </r>
    <r>
      <rPr>
        <b/>
        <sz val="12"/>
        <rFont val="Calibri"/>
        <family val="2"/>
        <scheme val="minor"/>
      </rPr>
      <t xml:space="preserve"> data imputed for missing escapement in 1998 - value provided by Ben Van Alen (8-5-2011).</t>
    </r>
  </si>
  <si>
    <t>Subsistence harvest from returned permits.</t>
  </si>
  <si>
    <t>Sport Fish harvest from annual ADF&amp;G Sport Fish report and from Ben Van Alen (USFS) 8-5-2011.</t>
  </si>
  <si>
    <t>Total harvest estimate is sum of what was considered the best estimate of commercial, subsistence and sport harvests.</t>
  </si>
  <si>
    <t>Fry stocking involved incubation boxes for sockeye salmon, with survival estimates to hatching only; chinook salmon fry were stocked in 1986.</t>
  </si>
  <si>
    <t>No directed fishery</t>
  </si>
  <si>
    <t>REDOUBT LAKE SOCKEYE SALMON HARVEST</t>
  </si>
  <si>
    <t>From Eric Coonradt 5-30-2013</t>
  </si>
  <si>
    <t>YEAR</t>
  </si>
  <si>
    <t>Sockeye Escapement</t>
  </si>
  <si>
    <t># of Subsistence Permits</t>
  </si>
  <si>
    <t>Subsistence Sockeye Harvest</t>
  </si>
  <si>
    <t>Commercial Seine Sockeye Harvest</t>
  </si>
  <si>
    <t>Directed Seine Opening</t>
  </si>
  <si>
    <t>Opening Dates</t>
  </si>
  <si>
    <t xml:space="preserve">      69,836 </t>
  </si>
  <si>
    <t xml:space="preserve">             409 </t>
  </si>
  <si>
    <t xml:space="preserve">        10,616 </t>
  </si>
  <si>
    <t xml:space="preserve">            268 </t>
  </si>
  <si>
    <t>directed fishery</t>
  </si>
  <si>
    <t xml:space="preserve">      77,088 </t>
  </si>
  <si>
    <t xml:space="preserve">             432 </t>
  </si>
  <si>
    <t xml:space="preserve">         9,338 </t>
  </si>
  <si>
    <t xml:space="preserve">         2,269 </t>
  </si>
  <si>
    <t xml:space="preserve">      65,653 </t>
  </si>
  <si>
    <t xml:space="preserve">             304 </t>
  </si>
  <si>
    <t xml:space="preserve">         5,299 </t>
  </si>
  <si>
    <t xml:space="preserve">            402 </t>
  </si>
  <si>
    <t xml:space="preserve">     103,953 </t>
  </si>
  <si>
    <t xml:space="preserve">             519 </t>
  </si>
  <si>
    <t xml:space="preserve">       13,683 </t>
  </si>
  <si>
    <t xml:space="preserve">         7,900 </t>
  </si>
  <si>
    <t xml:space="preserve">      66,664 </t>
  </si>
  <si>
    <t xml:space="preserve">             413 </t>
  </si>
  <si>
    <t xml:space="preserve">          8,711 </t>
  </si>
  <si>
    <t xml:space="preserve">         5,873 </t>
  </si>
  <si>
    <t xml:space="preserve">       10,064 </t>
  </si>
  <si>
    <t xml:space="preserve">               76 </t>
  </si>
  <si>
    <t xml:space="preserve">            679 </t>
  </si>
  <si>
    <t xml:space="preserve">            405 </t>
  </si>
  <si>
    <t xml:space="preserve">       12,503 </t>
  </si>
  <si>
    <t xml:space="preserve">             166 </t>
  </si>
  <si>
    <t xml:space="preserve">          1,149 </t>
  </si>
  <si>
    <t xml:space="preserve">            554 </t>
  </si>
  <si>
    <t xml:space="preserve">       17,030 </t>
  </si>
  <si>
    <t xml:space="preserve">             162 </t>
  </si>
  <si>
    <t xml:space="preserve">             811 </t>
  </si>
  <si>
    <t xml:space="preserve">       21,644 </t>
  </si>
  <si>
    <t xml:space="preserve">             153 </t>
  </si>
  <si>
    <t xml:space="preserve">         1,402 </t>
  </si>
  <si>
    <t xml:space="preserve">            474 </t>
  </si>
  <si>
    <t xml:space="preserve">      40,903 </t>
  </si>
  <si>
    <t>Sum</t>
  </si>
  <si>
    <t xml:space="preserve">      485,338 </t>
  </si>
  <si>
    <t xml:space="preserve">           2,634 </t>
  </si>
  <si>
    <t xml:space="preserve">        52,391 </t>
  </si>
  <si>
    <t xml:space="preserve">        19,737 </t>
  </si>
  <si>
    <t>Avg</t>
  </si>
  <si>
    <t xml:space="preserve">      48,534 </t>
  </si>
  <si>
    <t xml:space="preserve">             293 </t>
  </si>
  <si>
    <t xml:space="preserve">         5,821 </t>
  </si>
  <si>
    <t xml:space="preserve">         1,974 </t>
  </si>
  <si>
    <t>Seine Harvest</t>
  </si>
  <si>
    <t xml:space="preserve">       49,113 </t>
  </si>
  <si>
    <t xml:space="preserve">         1,656 </t>
  </si>
  <si>
    <t xml:space="preserve">             257 </t>
  </si>
  <si>
    <t xml:space="preserve">         4,975 </t>
  </si>
  <si>
    <t xml:space="preserve">            804 </t>
  </si>
  <si>
    <t xml:space="preserve">             247 </t>
  </si>
  <si>
    <t xml:space="preserve">         4,039 </t>
  </si>
  <si>
    <t xml:space="preserve">         3,304 </t>
  </si>
  <si>
    <t>Aug 4, 9</t>
  </si>
  <si>
    <t>Jul 19, 26; Aug 2, 4, 9</t>
  </si>
  <si>
    <t>Jul 16, 20, 24, 25, 26, 27, 28, 29, 30</t>
  </si>
  <si>
    <t>Jul 16, 17, 26, 27, 30, 31</t>
  </si>
  <si>
    <t>Jul 7, 8, 11, 12, 15, 16, 17, 18, 19, 22, 23, 24, 29, 30, 31; Aug 1, 2, 3.</t>
  </si>
  <si>
    <t>Commercial harvest in directed purse seine fishery from Coonradt (ADF&amp;G AMB Sitka); incidental small harvests in subdistricts 113-38 and 113-41 in other years.</t>
  </si>
  <si>
    <t>Catch data from Rich and Ball (1933):</t>
  </si>
  <si>
    <t>Catch</t>
  </si>
  <si>
    <t xml:space="preserve">Weir </t>
  </si>
  <si>
    <t>count</t>
  </si>
  <si>
    <t>??</t>
  </si>
  <si>
    <t>Stock-recruit data from Geiger (2003):</t>
  </si>
  <si>
    <t>1998 adult escapement estimate from Ben Van Alen (USFS) 8-5-2011 (weir was not operated).</t>
  </si>
  <si>
    <r>
      <rPr>
        <b/>
        <sz val="12"/>
        <color rgb="FFFF0000"/>
        <rFont val="Calibri"/>
        <family val="2"/>
        <scheme val="minor"/>
      </rPr>
      <t>RED</t>
    </r>
    <r>
      <rPr>
        <b/>
        <sz val="12"/>
        <rFont val="Calibri"/>
        <family val="2"/>
        <scheme val="minor"/>
      </rPr>
      <t xml:space="preserve"> data imputed for missing escapement in 1998 - based on </t>
    </r>
    <r>
      <rPr>
        <b/>
        <sz val="12"/>
        <color rgb="FFFF0000"/>
        <rFont val="Calibri"/>
        <family val="2"/>
        <scheme val="minor"/>
      </rPr>
      <t>median age at return</t>
    </r>
    <r>
      <rPr>
        <b/>
        <sz val="12"/>
        <rFont val="Calibri"/>
        <family val="2"/>
        <scheme val="minor"/>
      </rPr>
      <t>.</t>
    </r>
  </si>
  <si>
    <t>Redoubt Lake sockeye salmon:  Used this table for NCEAS table)</t>
  </si>
  <si>
    <t>age 3 (age 1.1)</t>
  </si>
  <si>
    <t>age 1.3</t>
  </si>
  <si>
    <t>age 2.2</t>
  </si>
  <si>
    <t>modified by Ruggerone</t>
  </si>
  <si>
    <t>split age 5 into the two age groups</t>
  </si>
  <si>
    <t>Brood Year</t>
  </si>
  <si>
    <t>age 4 (age 1.2)</t>
  </si>
  <si>
    <t>age 6 (age 2.3)</t>
  </si>
  <si>
    <t>age 7 (age 3.3)</t>
  </si>
  <si>
    <t>age 8 (age 3.4)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</si>
</sst>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_);\(0.0\)"/>
    <numFmt numFmtId="165" formatCode="#,##0.000_);\(#,##0.000\)"/>
    <numFmt numFmtId="166" formatCode="0.0000"/>
    <numFmt numFmtId="167" formatCode="0.000;[Red]0.000"/>
    <numFmt numFmtId="168" formatCode="0.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alibri"/>
      <family val="2"/>
      <scheme val="minor"/>
    </font>
    <font>
      <b/>
      <sz val="10"/>
      <color rgb="FFFF0000"/>
      <name val="Calibri"/>
      <family val="2"/>
      <scheme val="minor"/>
    </font>
    <font>
      <sz val="10"/>
      <name val="Arial"/>
      <family val="2"/>
    </font>
    <font>
      <sz val="10"/>
      <color theme="1"/>
      <name val="Calibri"/>
      <family val="2"/>
      <scheme val="minor"/>
    </font>
    <font>
      <b/>
      <i/>
      <sz val="11"/>
      <color rgb="FFFF0000"/>
      <name val="Calibri"/>
      <family val="2"/>
      <scheme val="minor"/>
    </font>
    <font>
      <b/>
      <sz val="12"/>
      <name val="Calibri"/>
      <family val="2"/>
      <scheme val="minor"/>
    </font>
    <font>
      <b/>
      <sz val="11"/>
      <color theme="1"/>
      <name val="Calibri"/>
      <family val="2"/>
      <scheme val="minor"/>
    </font>
    <font>
      <b/>
      <i/>
      <sz val="10"/>
      <color rgb="FFFF0000"/>
      <name val="Calibri"/>
      <family val="2"/>
      <scheme val="minor"/>
    </font>
    <font>
      <b/>
      <sz val="10"/>
      <name val="Calibri"/>
      <family val="2"/>
      <scheme val="minor"/>
    </font>
    <font>
      <b/>
      <sz val="11"/>
      <name val="Calibri"/>
      <family val="2"/>
      <scheme val="minor"/>
    </font>
    <font>
      <sz val="11"/>
      <name val="Calibri"/>
      <family val="2"/>
      <scheme val="minor"/>
    </font>
    <font>
      <b/>
      <sz val="11"/>
      <color rgb="FFFF0000"/>
      <name val="Calibri"/>
      <family val="2"/>
      <scheme val="minor"/>
    </font>
    <font>
      <i/>
      <sz val="11"/>
      <name val="Calibri"/>
      <family val="2"/>
      <scheme val="minor"/>
    </font>
    <font>
      <sz val="10"/>
      <name val="Courier"/>
      <family val="3"/>
    </font>
    <font>
      <b/>
      <sz val="12"/>
      <color rgb="FFFF0000"/>
      <name val="Calibri"/>
      <family val="2"/>
      <scheme val="minor"/>
    </font>
    <font>
      <b/>
      <sz val="12"/>
      <color theme="1"/>
      <name val="Calibri"/>
      <family val="2"/>
      <scheme val="minor"/>
    </font>
    <font>
      <sz val="12"/>
      <color theme="1"/>
      <name val="Calibri"/>
      <family val="2"/>
      <scheme val="minor"/>
    </font>
    <font>
      <b/>
      <i/>
      <sz val="10"/>
      <name val="Calibri"/>
      <family val="2"/>
      <scheme val="minor"/>
    </font>
    <font>
      <sz val="9"/>
      <color indexed="81"/>
      <name val="Tahoma"/>
      <family val="2"/>
    </font>
    <font>
      <b/>
      <sz val="9"/>
      <color indexed="81"/>
      <name val="Tahoma"/>
      <family val="2"/>
    </font>
    <font>
      <b/>
      <sz val="14"/>
      <name val="Calibri"/>
      <family val="2"/>
      <scheme val="minor"/>
    </font>
    <font>
      <u/>
      <sz val="10"/>
      <color theme="10"/>
      <name val="Arial"/>
    </font>
    <font>
      <u/>
      <sz val="10"/>
      <color theme="11"/>
      <name val="Arial"/>
    </font>
    <font>
      <sz val="11"/>
      <color rgb="FFFF0000"/>
      <name val="Calibri"/>
      <scheme val="minor"/>
    </font>
    <font>
      <b/>
      <strike/>
      <sz val="11"/>
      <name val="Calibri"/>
      <scheme val="minor"/>
    </font>
  </fonts>
  <fills count="6">
    <fill>
      <patternFill patternType="none"/>
    </fill>
    <fill>
      <patternFill patternType="gray125"/>
    </fill>
    <fill>
      <patternFill patternType="solid">
        <fgColor rgb="FFFFFFCC"/>
        <bgColor indexed="64"/>
      </patternFill>
    </fill>
    <fill>
      <patternFill patternType="solid">
        <fgColor rgb="FFFFCCCC"/>
        <bgColor indexed="64"/>
      </patternFill>
    </fill>
    <fill>
      <patternFill patternType="solid">
        <fgColor rgb="FFFFFF00"/>
        <bgColor indexed="64"/>
      </patternFill>
    </fill>
    <fill>
      <patternFill patternType="solid">
        <fgColor rgb="FFCCFFCC"/>
        <bgColor indexed="64"/>
      </patternFill>
    </fill>
  </fills>
  <borders count="10">
    <border>
      <left/>
      <right/>
      <top/>
      <bottom/>
      <diagonal/>
    </border>
    <border>
      <left/>
      <right/>
      <top/>
      <bottom style="thin">
        <color auto="1"/>
      </bottom>
      <diagonal/>
    </border>
    <border>
      <left/>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s>
  <cellStyleXfs count="200">
    <xf numFmtId="0" fontId="0" fillId="0" borderId="0"/>
    <xf numFmtId="0" fontId="5" fillId="0" borderId="0"/>
    <xf numFmtId="0" fontId="5" fillId="0" borderId="0"/>
    <xf numFmtId="43" fontId="8" fillId="0" borderId="0" applyFont="0" applyFill="0" applyBorder="0" applyAlignment="0" applyProtection="0"/>
    <xf numFmtId="9" fontId="8" fillId="0" borderId="0" applyFont="0" applyFill="0" applyBorder="0" applyAlignment="0" applyProtection="0"/>
    <xf numFmtId="0" fontId="5" fillId="0" borderId="0"/>
    <xf numFmtId="0" fontId="5" fillId="0" borderId="0"/>
    <xf numFmtId="0" fontId="5" fillId="0" borderId="0"/>
    <xf numFmtId="0" fontId="4" fillId="0" borderId="0"/>
    <xf numFmtId="0" fontId="5" fillId="0" borderId="0"/>
    <xf numFmtId="0" fontId="5" fillId="0" borderId="0"/>
    <xf numFmtId="0" fontId="3" fillId="0" borderId="0"/>
    <xf numFmtId="165" fontId="19" fillId="0" borderId="0"/>
    <xf numFmtId="0" fontId="3" fillId="0" borderId="0"/>
    <xf numFmtId="0" fontId="5" fillId="0" borderId="0"/>
    <xf numFmtId="0" fontId="5" fillId="0" borderId="0"/>
    <xf numFmtId="0" fontId="5" fillId="0" borderId="0"/>
    <xf numFmtId="0" fontId="5" fillId="0" borderId="0"/>
    <xf numFmtId="165" fontId="1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3" fillId="0" borderId="0"/>
    <xf numFmtId="9" fontId="5" fillId="0" borderId="0" applyFont="0" applyFill="0" applyBorder="0" applyAlignment="0" applyProtection="0"/>
    <xf numFmtId="0" fontId="3"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3" fillId="0" borderId="0"/>
    <xf numFmtId="0" fontId="2"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141">
    <xf numFmtId="0" fontId="0" fillId="0" borderId="0" xfId="0"/>
    <xf numFmtId="0" fontId="6" fillId="0" borderId="0" xfId="0" applyFont="1"/>
    <xf numFmtId="0" fontId="6" fillId="0" borderId="0" xfId="0" applyFont="1" applyBorder="1"/>
    <xf numFmtId="3" fontId="6" fillId="0" borderId="0" xfId="0" applyNumberFormat="1" applyFont="1" applyAlignment="1">
      <alignment horizontal="center"/>
    </xf>
    <xf numFmtId="3" fontId="6" fillId="0" borderId="0" xfId="0" applyNumberFormat="1" applyFont="1"/>
    <xf numFmtId="0" fontId="6" fillId="0" borderId="0" xfId="0" applyFont="1" applyAlignment="1">
      <alignment horizontal="center"/>
    </xf>
    <xf numFmtId="0" fontId="6" fillId="0" borderId="0" xfId="0" applyFont="1" applyAlignment="1">
      <alignment horizontal="right" wrapText="1"/>
    </xf>
    <xf numFmtId="3" fontId="6" fillId="0" borderId="0" xfId="0" applyNumberFormat="1" applyFont="1" applyAlignment="1">
      <alignment horizontal="right" wrapText="1"/>
    </xf>
    <xf numFmtId="3" fontId="6" fillId="0" borderId="0" xfId="0" applyNumberFormat="1" applyFont="1" applyBorder="1" applyAlignment="1">
      <alignment horizontal="right" wrapText="1"/>
    </xf>
    <xf numFmtId="3" fontId="6" fillId="0" borderId="0" xfId="0" applyNumberFormat="1" applyFont="1" applyFill="1" applyBorder="1" applyAlignment="1">
      <alignment horizontal="right" wrapText="1"/>
    </xf>
    <xf numFmtId="3" fontId="6" fillId="0" borderId="0" xfId="0" applyNumberFormat="1" applyFont="1" applyAlignment="1">
      <alignment horizontal="right"/>
    </xf>
    <xf numFmtId="0" fontId="6" fillId="0" borderId="0" xfId="0" applyFont="1" applyAlignment="1">
      <alignment horizontal="right"/>
    </xf>
    <xf numFmtId="0" fontId="7" fillId="0" borderId="0" xfId="0" applyFont="1" applyAlignment="1">
      <alignment horizontal="center"/>
    </xf>
    <xf numFmtId="0" fontId="6" fillId="0" borderId="0" xfId="0" applyFont="1" applyBorder="1" applyAlignment="1">
      <alignment horizontal="center"/>
    </xf>
    <xf numFmtId="3" fontId="6" fillId="0" borderId="1" xfId="0" applyNumberFormat="1" applyFont="1" applyBorder="1" applyAlignment="1">
      <alignment horizontal="center"/>
    </xf>
    <xf numFmtId="0" fontId="6" fillId="0" borderId="2" xfId="0" applyFont="1" applyBorder="1" applyAlignment="1">
      <alignment horizontal="center"/>
    </xf>
    <xf numFmtId="3" fontId="6" fillId="0" borderId="2" xfId="0" applyNumberFormat="1" applyFont="1" applyBorder="1" applyAlignment="1">
      <alignment horizontal="center"/>
    </xf>
    <xf numFmtId="0" fontId="6" fillId="0" borderId="0" xfId="0" quotePrefix="1" applyFont="1" applyAlignment="1">
      <alignment horizontal="center"/>
    </xf>
    <xf numFmtId="3" fontId="9" fillId="0" borderId="0" xfId="0" applyNumberFormat="1" applyFont="1" applyAlignment="1">
      <alignment horizontal="right"/>
    </xf>
    <xf numFmtId="0" fontId="11" fillId="0" borderId="0" xfId="0" applyFont="1" applyAlignment="1">
      <alignment horizontal="left"/>
    </xf>
    <xf numFmtId="0" fontId="15" fillId="0" borderId="0" xfId="0" applyFont="1" applyAlignment="1">
      <alignment horizontal="left"/>
    </xf>
    <xf numFmtId="3" fontId="16" fillId="0" borderId="0" xfId="0" applyNumberFormat="1" applyFont="1"/>
    <xf numFmtId="0" fontId="16" fillId="0" borderId="0" xfId="0" applyFont="1"/>
    <xf numFmtId="3" fontId="10" fillId="0" borderId="0" xfId="0" applyNumberFormat="1" applyFont="1"/>
    <xf numFmtId="0" fontId="15" fillId="0" borderId="0" xfId="10" applyFont="1" applyBorder="1" applyAlignment="1">
      <alignment horizontal="left"/>
    </xf>
    <xf numFmtId="0" fontId="15" fillId="0" borderId="0" xfId="0" applyFont="1" applyAlignment="1">
      <alignment horizontal="center"/>
    </xf>
    <xf numFmtId="3" fontId="16" fillId="0" borderId="0" xfId="0" applyNumberFormat="1" applyFont="1" applyAlignment="1">
      <alignment horizontal="right"/>
    </xf>
    <xf numFmtId="0" fontId="16" fillId="0" borderId="0" xfId="0" applyFont="1" applyAlignment="1">
      <alignment horizontal="center"/>
    </xf>
    <xf numFmtId="9" fontId="16" fillId="0" borderId="0" xfId="4" applyFont="1"/>
    <xf numFmtId="9" fontId="16" fillId="0" borderId="0" xfId="0" applyNumberFormat="1" applyFont="1"/>
    <xf numFmtId="3" fontId="15" fillId="0" borderId="0" xfId="0" applyNumberFormat="1" applyFont="1" applyAlignment="1">
      <alignment horizontal="center"/>
    </xf>
    <xf numFmtId="3" fontId="16" fillId="0" borderId="0" xfId="0" applyNumberFormat="1" applyFont="1" applyAlignment="1">
      <alignment horizontal="center"/>
    </xf>
    <xf numFmtId="9" fontId="15" fillId="0" borderId="0" xfId="4" applyFont="1" applyAlignment="1">
      <alignment horizontal="center"/>
    </xf>
    <xf numFmtId="0" fontId="3" fillId="0" borderId="0" xfId="8" applyFont="1"/>
    <xf numFmtId="0" fontId="3" fillId="0" borderId="0" xfId="8" applyFont="1" applyAlignment="1">
      <alignment horizontal="left"/>
    </xf>
    <xf numFmtId="9" fontId="10" fillId="0" borderId="0" xfId="0" applyNumberFormat="1" applyFont="1"/>
    <xf numFmtId="0" fontId="17" fillId="0" borderId="0" xfId="0" applyFont="1"/>
    <xf numFmtId="0" fontId="16" fillId="2" borderId="0" xfId="0" applyFont="1" applyFill="1"/>
    <xf numFmtId="3" fontId="16" fillId="2" borderId="0" xfId="0" applyNumberFormat="1" applyFont="1" applyFill="1"/>
    <xf numFmtId="0" fontId="15" fillId="2" borderId="0" xfId="0" applyFont="1" applyFill="1" applyAlignment="1">
      <alignment horizontal="center"/>
    </xf>
    <xf numFmtId="3" fontId="10" fillId="2" borderId="0" xfId="0" applyNumberFormat="1" applyFont="1" applyFill="1"/>
    <xf numFmtId="9" fontId="16" fillId="2" borderId="0" xfId="4" applyFont="1" applyFill="1"/>
    <xf numFmtId="0" fontId="15" fillId="0" borderId="1" xfId="0" applyFont="1" applyBorder="1" applyAlignment="1">
      <alignment horizontal="center"/>
    </xf>
    <xf numFmtId="3" fontId="15" fillId="2" borderId="1" xfId="0" applyNumberFormat="1" applyFont="1" applyFill="1" applyBorder="1" applyAlignment="1">
      <alignment horizontal="center"/>
    </xf>
    <xf numFmtId="0" fontId="16" fillId="0" borderId="2" xfId="0" applyFont="1" applyBorder="1"/>
    <xf numFmtId="0" fontId="15" fillId="2" borderId="2" xfId="9" applyFont="1" applyFill="1" applyBorder="1" applyAlignment="1">
      <alignment horizontal="left"/>
    </xf>
    <xf numFmtId="0" fontId="16" fillId="2" borderId="2" xfId="0" applyFont="1" applyFill="1" applyBorder="1"/>
    <xf numFmtId="0" fontId="15" fillId="2" borderId="2" xfId="9" applyFont="1" applyFill="1" applyBorder="1" applyAlignment="1">
      <alignment horizontal="center"/>
    </xf>
    <xf numFmtId="3" fontId="16" fillId="2" borderId="2" xfId="0" applyNumberFormat="1" applyFont="1" applyFill="1" applyBorder="1"/>
    <xf numFmtId="3" fontId="15" fillId="2" borderId="2" xfId="0" applyNumberFormat="1" applyFont="1" applyFill="1" applyBorder="1" applyAlignment="1">
      <alignment horizontal="center"/>
    </xf>
    <xf numFmtId="3" fontId="13" fillId="0" borderId="0" xfId="0" applyNumberFormat="1" applyFont="1" applyAlignment="1">
      <alignment horizontal="right" wrapText="1"/>
    </xf>
    <xf numFmtId="3" fontId="16" fillId="0" borderId="2" xfId="0" applyNumberFormat="1" applyFont="1" applyBorder="1" applyAlignment="1">
      <alignment horizontal="center"/>
    </xf>
    <xf numFmtId="3" fontId="15" fillId="0" borderId="1" xfId="0" applyNumberFormat="1" applyFont="1" applyBorder="1" applyAlignment="1">
      <alignment horizontal="center"/>
    </xf>
    <xf numFmtId="3" fontId="15" fillId="0" borderId="2" xfId="0" applyNumberFormat="1" applyFont="1" applyBorder="1" applyAlignment="1">
      <alignment horizontal="center"/>
    </xf>
    <xf numFmtId="164" fontId="16" fillId="0" borderId="0" xfId="3" applyNumberFormat="1" applyFont="1" applyAlignment="1">
      <alignment horizontal="center"/>
    </xf>
    <xf numFmtId="3" fontId="18" fillId="0" borderId="0" xfId="0" applyNumberFormat="1" applyFont="1" applyAlignment="1">
      <alignment horizontal="left"/>
    </xf>
    <xf numFmtId="0" fontId="6" fillId="0" borderId="2" xfId="0" applyFont="1" applyBorder="1"/>
    <xf numFmtId="0" fontId="6" fillId="0" borderId="1" xfId="0" applyFont="1" applyBorder="1"/>
    <xf numFmtId="0" fontId="12" fillId="2" borderId="0" xfId="8" applyFont="1" applyFill="1" applyAlignment="1">
      <alignment horizontal="center"/>
    </xf>
    <xf numFmtId="0" fontId="3" fillId="2" borderId="0" xfId="8" applyNumberFormat="1" applyFont="1" applyFill="1"/>
    <xf numFmtId="0" fontId="16" fillId="3" borderId="0" xfId="0" applyFont="1" applyFill="1"/>
    <xf numFmtId="0" fontId="15" fillId="3" borderId="0" xfId="0" applyFont="1" applyFill="1"/>
    <xf numFmtId="0" fontId="12" fillId="3" borderId="0" xfId="8" applyFont="1" applyFill="1"/>
    <xf numFmtId="9" fontId="16" fillId="3" borderId="0" xfId="4" applyFont="1" applyFill="1"/>
    <xf numFmtId="9" fontId="16" fillId="0" borderId="0" xfId="0" applyNumberFormat="1" applyFont="1" applyAlignment="1">
      <alignment horizontal="center"/>
    </xf>
    <xf numFmtId="3" fontId="14" fillId="0" borderId="0" xfId="11" applyNumberFormat="1" applyFont="1"/>
    <xf numFmtId="0" fontId="3" fillId="0" borderId="0" xfId="11"/>
    <xf numFmtId="0" fontId="14" fillId="0" borderId="0" xfId="11" applyFont="1"/>
    <xf numFmtId="0" fontId="14" fillId="0" borderId="0" xfId="11" applyFont="1" applyFill="1"/>
    <xf numFmtId="167" fontId="5" fillId="0" borderId="0" xfId="14" applyNumberFormat="1"/>
    <xf numFmtId="0" fontId="5" fillId="0" borderId="0" xfId="14" applyFont="1"/>
    <xf numFmtId="0" fontId="5" fillId="0" borderId="0" xfId="14" applyAlignment="1">
      <alignment horizontal="right"/>
    </xf>
    <xf numFmtId="2" fontId="5" fillId="0" borderId="7" xfId="14" applyNumberFormat="1" applyBorder="1"/>
    <xf numFmtId="166" fontId="5" fillId="0" borderId="5" xfId="14" applyNumberFormat="1" applyBorder="1"/>
    <xf numFmtId="2" fontId="5" fillId="0" borderId="0" xfId="14" applyNumberFormat="1"/>
    <xf numFmtId="1" fontId="5" fillId="0" borderId="6" xfId="14" applyNumberFormat="1" applyBorder="1"/>
    <xf numFmtId="2" fontId="5" fillId="0" borderId="4" xfId="14" applyNumberFormat="1" applyBorder="1"/>
    <xf numFmtId="0" fontId="5" fillId="0" borderId="0" xfId="14"/>
    <xf numFmtId="2" fontId="5" fillId="0" borderId="5" xfId="14" applyNumberFormat="1" applyBorder="1"/>
    <xf numFmtId="166" fontId="5" fillId="0" borderId="3" xfId="14" applyNumberFormat="1" applyBorder="1"/>
    <xf numFmtId="2" fontId="5" fillId="0" borderId="8" xfId="14" applyNumberFormat="1" applyBorder="1"/>
    <xf numFmtId="2" fontId="5" fillId="0" borderId="6" xfId="14" applyNumberFormat="1" applyBorder="1"/>
    <xf numFmtId="0" fontId="11" fillId="0" borderId="0" xfId="34" applyFont="1"/>
    <xf numFmtId="0" fontId="16" fillId="0" borderId="0" xfId="0" applyFont="1" applyAlignment="1">
      <alignment horizontal="right"/>
    </xf>
    <xf numFmtId="9" fontId="16" fillId="0" borderId="0" xfId="0" applyNumberFormat="1" applyFont="1" applyAlignment="1">
      <alignment horizontal="right"/>
    </xf>
    <xf numFmtId="2" fontId="16" fillId="0" borderId="0" xfId="0" applyNumberFormat="1" applyFont="1"/>
    <xf numFmtId="166" fontId="16" fillId="0" borderId="0" xfId="0" applyNumberFormat="1" applyFont="1"/>
    <xf numFmtId="3" fontId="6" fillId="0" borderId="0" xfId="0" applyNumberFormat="1" applyFont="1" applyFill="1" applyAlignment="1">
      <alignment horizontal="right"/>
    </xf>
    <xf numFmtId="3" fontId="6" fillId="0" borderId="0" xfId="0" applyNumberFormat="1" applyFont="1" applyBorder="1" applyAlignment="1">
      <alignment horizontal="center"/>
    </xf>
    <xf numFmtId="0" fontId="6" fillId="0" borderId="1" xfId="0" applyFont="1" applyBorder="1" applyAlignment="1">
      <alignment horizontal="center"/>
    </xf>
    <xf numFmtId="9" fontId="6" fillId="0" borderId="0" xfId="4" applyFont="1" applyAlignment="1">
      <alignment horizontal="center"/>
    </xf>
    <xf numFmtId="0" fontId="6" fillId="0" borderId="0" xfId="6" applyFont="1"/>
    <xf numFmtId="0" fontId="6" fillId="0" borderId="0" xfId="5" applyFont="1"/>
    <xf numFmtId="0" fontId="2" fillId="0" borderId="0" xfId="169"/>
    <xf numFmtId="0" fontId="2" fillId="0" borderId="0" xfId="169" applyAlignment="1"/>
    <xf numFmtId="0" fontId="2" fillId="0" borderId="0" xfId="169" applyAlignment="1">
      <alignment horizontal="center"/>
    </xf>
    <xf numFmtId="0" fontId="12" fillId="0" borderId="0" xfId="169" applyFont="1" applyAlignment="1"/>
    <xf numFmtId="0" fontId="21" fillId="0" borderId="0" xfId="169" applyFont="1" applyAlignment="1"/>
    <xf numFmtId="0" fontId="22" fillId="0" borderId="0" xfId="169" applyFont="1" applyAlignment="1"/>
    <xf numFmtId="0" fontId="2" fillId="0" borderId="9" xfId="169" applyBorder="1" applyAlignment="1">
      <alignment horizontal="center"/>
    </xf>
    <xf numFmtId="0" fontId="2" fillId="0" borderId="9" xfId="169" applyBorder="1" applyAlignment="1">
      <alignment horizontal="center" wrapText="1"/>
    </xf>
    <xf numFmtId="3" fontId="6" fillId="0" borderId="2" xfId="0" applyNumberFormat="1" applyFont="1" applyFill="1" applyBorder="1" applyAlignment="1">
      <alignment horizontal="center"/>
    </xf>
    <xf numFmtId="3" fontId="6" fillId="0" borderId="0" xfId="0" applyNumberFormat="1" applyFont="1" applyFill="1" applyBorder="1" applyAlignment="1">
      <alignment horizontal="center"/>
    </xf>
    <xf numFmtId="3" fontId="6" fillId="0" borderId="1" xfId="0" applyNumberFormat="1" applyFont="1" applyFill="1" applyBorder="1" applyAlignment="1">
      <alignment horizontal="center"/>
    </xf>
    <xf numFmtId="0" fontId="2" fillId="0" borderId="0" xfId="169" applyBorder="1" applyAlignment="1">
      <alignment horizontal="center"/>
    </xf>
    <xf numFmtId="0" fontId="2" fillId="0" borderId="0" xfId="169" applyBorder="1" applyAlignment="1"/>
    <xf numFmtId="0" fontId="0" fillId="0" borderId="0" xfId="0" applyBorder="1"/>
    <xf numFmtId="3" fontId="2" fillId="0" borderId="0" xfId="169" applyNumberFormat="1" applyAlignment="1">
      <alignment horizontal="center"/>
    </xf>
    <xf numFmtId="0" fontId="5" fillId="0" borderId="0" xfId="0" applyFont="1"/>
    <xf numFmtId="15" fontId="5" fillId="0" borderId="0" xfId="0" quotePrefix="1" applyNumberFormat="1" applyFont="1"/>
    <xf numFmtId="0" fontId="7" fillId="0" borderId="0" xfId="0" applyFont="1" applyAlignment="1">
      <alignment horizontal="left"/>
    </xf>
    <xf numFmtId="0" fontId="14" fillId="0" borderId="0" xfId="0" applyFont="1" applyAlignment="1">
      <alignment horizontal="left"/>
    </xf>
    <xf numFmtId="3" fontId="9" fillId="0" borderId="0" xfId="0" applyNumberFormat="1" applyFont="1" applyFill="1" applyAlignment="1">
      <alignment horizontal="right"/>
    </xf>
    <xf numFmtId="0" fontId="23" fillId="0" borderId="0" xfId="0" applyFont="1" applyAlignment="1">
      <alignment horizontal="left"/>
    </xf>
    <xf numFmtId="3" fontId="6" fillId="0" borderId="0" xfId="0" applyNumberFormat="1" applyFont="1" applyBorder="1" applyAlignment="1">
      <alignment horizontal="center"/>
    </xf>
    <xf numFmtId="0" fontId="6" fillId="0" borderId="1" xfId="0" applyFont="1" applyBorder="1" applyAlignment="1">
      <alignment horizontal="center"/>
    </xf>
    <xf numFmtId="0" fontId="0" fillId="0" borderId="2" xfId="0" applyBorder="1" applyAlignment="1">
      <alignment horizontal="center"/>
    </xf>
    <xf numFmtId="0" fontId="0" fillId="0" borderId="2" xfId="0" applyBorder="1"/>
    <xf numFmtId="0" fontId="5" fillId="0" borderId="0" xfId="0" applyFont="1" applyBorder="1" applyAlignment="1">
      <alignment horizontal="center"/>
    </xf>
    <xf numFmtId="0" fontId="5" fillId="0" borderId="1" xfId="0" applyFont="1" applyBorder="1" applyAlignment="1">
      <alignment horizontal="center"/>
    </xf>
    <xf numFmtId="3" fontId="16" fillId="4" borderId="2" xfId="0" applyNumberFormat="1" applyFont="1" applyFill="1" applyBorder="1" applyAlignment="1">
      <alignment horizontal="center"/>
    </xf>
    <xf numFmtId="3" fontId="15" fillId="4" borderId="1" xfId="0" applyNumberFormat="1" applyFont="1" applyFill="1" applyBorder="1" applyAlignment="1">
      <alignment horizontal="center"/>
    </xf>
    <xf numFmtId="3" fontId="16" fillId="4" borderId="0" xfId="0" applyNumberFormat="1" applyFont="1" applyFill="1"/>
    <xf numFmtId="164" fontId="16" fillId="4" borderId="0" xfId="3" applyNumberFormat="1" applyFont="1" applyFill="1" applyAlignment="1">
      <alignment horizontal="center"/>
    </xf>
    <xf numFmtId="3" fontId="13" fillId="0" borderId="0" xfId="0" applyNumberFormat="1" applyFont="1" applyAlignment="1">
      <alignment horizontal="right"/>
    </xf>
    <xf numFmtId="3" fontId="7" fillId="0" borderId="0" xfId="0" applyNumberFormat="1" applyFont="1" applyFill="1" applyAlignment="1">
      <alignment horizontal="right"/>
    </xf>
    <xf numFmtId="3" fontId="1" fillId="0" borderId="0" xfId="169" applyNumberFormat="1" applyFont="1" applyAlignment="1">
      <alignment horizontal="center"/>
    </xf>
    <xf numFmtId="0" fontId="26" fillId="0" borderId="0" xfId="0" applyFont="1" applyAlignment="1">
      <alignment horizontal="left"/>
    </xf>
    <xf numFmtId="0" fontId="14" fillId="0" borderId="0" xfId="0" applyFont="1"/>
    <xf numFmtId="3" fontId="6" fillId="0" borderId="0" xfId="0" applyNumberFormat="1" applyFont="1" applyBorder="1" applyAlignment="1">
      <alignment horizontal="center"/>
    </xf>
    <xf numFmtId="0" fontId="6" fillId="0" borderId="1" xfId="0" applyFont="1" applyBorder="1" applyAlignment="1">
      <alignment horizontal="center"/>
    </xf>
    <xf numFmtId="168" fontId="16" fillId="0" borderId="0" xfId="4" applyNumberFormat="1" applyFont="1"/>
    <xf numFmtId="0" fontId="12" fillId="5" borderId="0" xfId="8" applyFont="1" applyFill="1" applyAlignment="1">
      <alignment horizontal="center"/>
    </xf>
    <xf numFmtId="0" fontId="15" fillId="5" borderId="0" xfId="0" applyFont="1" applyFill="1" applyAlignment="1">
      <alignment horizontal="center"/>
    </xf>
    <xf numFmtId="3" fontId="15" fillId="5" borderId="1" xfId="0" applyNumberFormat="1" applyFont="1" applyFill="1" applyBorder="1" applyAlignment="1">
      <alignment horizontal="center"/>
    </xf>
    <xf numFmtId="9" fontId="16" fillId="5" borderId="0" xfId="4" applyFont="1" applyFill="1"/>
    <xf numFmtId="1" fontId="16" fillId="5" borderId="0" xfId="0" applyNumberFormat="1" applyFont="1" applyFill="1" applyAlignment="1">
      <alignment horizontal="center"/>
    </xf>
    <xf numFmtId="3" fontId="15" fillId="0" borderId="0" xfId="0" applyNumberFormat="1" applyFont="1" applyAlignment="1">
      <alignment horizontal="left"/>
    </xf>
    <xf numFmtId="1" fontId="29" fillId="5" borderId="0" xfId="0" applyNumberFormat="1" applyFont="1" applyFill="1" applyAlignment="1">
      <alignment horizontal="center"/>
    </xf>
    <xf numFmtId="0" fontId="15" fillId="5" borderId="1" xfId="0" applyFont="1" applyFill="1" applyBorder="1" applyAlignment="1">
      <alignment horizontal="center"/>
    </xf>
    <xf numFmtId="0" fontId="30" fillId="2" borderId="0" xfId="0" applyFont="1" applyFill="1" applyAlignment="1">
      <alignment horizontal="center"/>
    </xf>
  </cellXfs>
  <cellStyles count="200">
    <cellStyle name="Comma" xfId="3" builtinId="3"/>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Normal" xfId="0" builtinId="0"/>
    <cellStyle name="Normal 10" xfId="20"/>
    <cellStyle name="Normal 11" xfId="9"/>
    <cellStyle name="Normal 12" xfId="10"/>
    <cellStyle name="Normal 13" xfId="39"/>
    <cellStyle name="Normal 13 2" xfId="73"/>
    <cellStyle name="Normal 13 3" xfId="102"/>
    <cellStyle name="Normal 13 4" xfId="130"/>
    <cellStyle name="Normal 14" xfId="41"/>
    <cellStyle name="Normal 14 2" xfId="75"/>
    <cellStyle name="Normal 14 3" xfId="104"/>
    <cellStyle name="Normal 14 4" xfId="132"/>
    <cellStyle name="Normal 15" xfId="42"/>
    <cellStyle name="Normal 15 2" xfId="76"/>
    <cellStyle name="Normal 15 3" xfId="105"/>
    <cellStyle name="Normal 15 4" xfId="133"/>
    <cellStyle name="Normal 16" xfId="43"/>
    <cellStyle name="Normal 16 2" xfId="77"/>
    <cellStyle name="Normal 16 3" xfId="106"/>
    <cellStyle name="Normal 16 4" xfId="134"/>
    <cellStyle name="Normal 17" xfId="44"/>
    <cellStyle name="Normal 17 2" xfId="78"/>
    <cellStyle name="Normal 17 3" xfId="107"/>
    <cellStyle name="Normal 17 4" xfId="135"/>
    <cellStyle name="Normal 18" xfId="45"/>
    <cellStyle name="Normal 18 2" xfId="79"/>
    <cellStyle name="Normal 18 3" xfId="108"/>
    <cellStyle name="Normal 18 4" xfId="136"/>
    <cellStyle name="Normal 19" xfId="46"/>
    <cellStyle name="Normal 19 2" xfId="80"/>
    <cellStyle name="Normal 19 3" xfId="109"/>
    <cellStyle name="Normal 19 4" xfId="137"/>
    <cellStyle name="Normal 2" xfId="5"/>
    <cellStyle name="Normal 2 2" xfId="12"/>
    <cellStyle name="Normal 2 2 2" xfId="16"/>
    <cellStyle name="Normal 2 2 3" xfId="166"/>
    <cellStyle name="Normal 2 3" xfId="19"/>
    <cellStyle name="Normal 2 4" xfId="21"/>
    <cellStyle name="Normal 2 5" xfId="22"/>
    <cellStyle name="Normal 2 6" xfId="157"/>
    <cellStyle name="Normal 2 7" xfId="165"/>
    <cellStyle name="Normal 2 8" xfId="18"/>
    <cellStyle name="Normal 20" xfId="47"/>
    <cellStyle name="Normal 20 2" xfId="81"/>
    <cellStyle name="Normal 20 3" xfId="110"/>
    <cellStyle name="Normal 20 4" xfId="138"/>
    <cellStyle name="Normal 21" xfId="48"/>
    <cellStyle name="Normal 21 2" xfId="82"/>
    <cellStyle name="Normal 21 3" xfId="111"/>
    <cellStyle name="Normal 21 4" xfId="139"/>
    <cellStyle name="Normal 22" xfId="49"/>
    <cellStyle name="Normal 22 2" xfId="83"/>
    <cellStyle name="Normal 22 3" xfId="112"/>
    <cellStyle name="Normal 22 4" xfId="140"/>
    <cellStyle name="Normal 23" xfId="50"/>
    <cellStyle name="Normal 23 2" xfId="84"/>
    <cellStyle name="Normal 23 3" xfId="113"/>
    <cellStyle name="Normal 23 4" xfId="141"/>
    <cellStyle name="Normal 24" xfId="51"/>
    <cellStyle name="Normal 24 2" xfId="85"/>
    <cellStyle name="Normal 24 3" xfId="114"/>
    <cellStyle name="Normal 24 4" xfId="142"/>
    <cellStyle name="Normal 25" xfId="52"/>
    <cellStyle name="Normal 25 2" xfId="86"/>
    <cellStyle name="Normal 25 3" xfId="115"/>
    <cellStyle name="Normal 25 4" xfId="143"/>
    <cellStyle name="Normal 26" xfId="53"/>
    <cellStyle name="Normal 26 2" xfId="87"/>
    <cellStyle name="Normal 26 3" xfId="116"/>
    <cellStyle name="Normal 26 4" xfId="144"/>
    <cellStyle name="Normal 27" xfId="54"/>
    <cellStyle name="Normal 27 2" xfId="88"/>
    <cellStyle name="Normal 27 3" xfId="117"/>
    <cellStyle name="Normal 27 4" xfId="145"/>
    <cellStyle name="Normal 28" xfId="55"/>
    <cellStyle name="Normal 28 2" xfId="89"/>
    <cellStyle name="Normal 28 3" xfId="118"/>
    <cellStyle name="Normal 28 4" xfId="146"/>
    <cellStyle name="Normal 29" xfId="56"/>
    <cellStyle name="Normal 29 2" xfId="90"/>
    <cellStyle name="Normal 29 3" xfId="119"/>
    <cellStyle name="Normal 29 4" xfId="147"/>
    <cellStyle name="Normal 3" xfId="6"/>
    <cellStyle name="Normal 3 10" xfId="162"/>
    <cellStyle name="Normal 3 2" xfId="40"/>
    <cellStyle name="Normal 3 2 2" xfId="23"/>
    <cellStyle name="Normal 3 2 3" xfId="159"/>
    <cellStyle name="Normal 3 2 4" xfId="164"/>
    <cellStyle name="Normal 3 3" xfId="24"/>
    <cellStyle name="Normal 3 4" xfId="25"/>
    <cellStyle name="Normal 3 5" xfId="36"/>
    <cellStyle name="Normal 3 6" xfId="74"/>
    <cellStyle name="Normal 3 7" xfId="103"/>
    <cellStyle name="Normal 3 8" xfId="131"/>
    <cellStyle name="Normal 3 9" xfId="160"/>
    <cellStyle name="Normal 30" xfId="57"/>
    <cellStyle name="Normal 30 2" xfId="91"/>
    <cellStyle name="Normal 30 3" xfId="120"/>
    <cellStyle name="Normal 30 4" xfId="148"/>
    <cellStyle name="Normal 31" xfId="65"/>
    <cellStyle name="Normal 32" xfId="58"/>
    <cellStyle name="Normal 32 2" xfId="92"/>
    <cellStyle name="Normal 32 3" xfId="121"/>
    <cellStyle name="Normal 32 4" xfId="149"/>
    <cellStyle name="Normal 33" xfId="59"/>
    <cellStyle name="Normal 33 2" xfId="93"/>
    <cellStyle name="Normal 33 3" xfId="122"/>
    <cellStyle name="Normal 33 4" xfId="150"/>
    <cellStyle name="Normal 34" xfId="60"/>
    <cellStyle name="Normal 34 2" xfId="94"/>
    <cellStyle name="Normal 34 3" xfId="123"/>
    <cellStyle name="Normal 34 4" xfId="151"/>
    <cellStyle name="Normal 35" xfId="61"/>
    <cellStyle name="Normal 35 2" xfId="95"/>
    <cellStyle name="Normal 35 3" xfId="124"/>
    <cellStyle name="Normal 35 4" xfId="152"/>
    <cellStyle name="Normal 36" xfId="62"/>
    <cellStyle name="Normal 36 2" xfId="96"/>
    <cellStyle name="Normal 36 3" xfId="125"/>
    <cellStyle name="Normal 36 4" xfId="153"/>
    <cellStyle name="Normal 37" xfId="63"/>
    <cellStyle name="Normal 37 2" xfId="97"/>
    <cellStyle name="Normal 37 3" xfId="126"/>
    <cellStyle name="Normal 37 4" xfId="154"/>
    <cellStyle name="Normal 38" xfId="64"/>
    <cellStyle name="Normal 38 2" xfId="98"/>
    <cellStyle name="Normal 38 3" xfId="127"/>
    <cellStyle name="Normal 38 4" xfId="155"/>
    <cellStyle name="Normal 39" xfId="66"/>
    <cellStyle name="Normal 4" xfId="1"/>
    <cellStyle name="Normal 4 2" xfId="26"/>
    <cellStyle name="Normal 4 3" xfId="27"/>
    <cellStyle name="Normal 4 4" xfId="28"/>
    <cellStyle name="Normal 4 5" xfId="37"/>
    <cellStyle name="Normal 4 6" xfId="67"/>
    <cellStyle name="Normal 4 7" xfId="72"/>
    <cellStyle name="Normal 4 8" xfId="70"/>
    <cellStyle name="Normal 40" xfId="13"/>
    <cellStyle name="Normal 40 2" xfId="99"/>
    <cellStyle name="Normal 40 3" xfId="128"/>
    <cellStyle name="Normal 40 4" xfId="156"/>
    <cellStyle name="Normal 41" xfId="69"/>
    <cellStyle name="Normal 42" xfId="15"/>
    <cellStyle name="Normal 43" xfId="158"/>
    <cellStyle name="Normal 44" xfId="34"/>
    <cellStyle name="Normal 45" xfId="14"/>
    <cellStyle name="Normal 46" xfId="169"/>
    <cellStyle name="Normal 5" xfId="2"/>
    <cellStyle name="Normal 5 2" xfId="29"/>
    <cellStyle name="Normal 5 3" xfId="30"/>
    <cellStyle name="Normal 5 4" xfId="31"/>
    <cellStyle name="Normal 5 5" xfId="38"/>
    <cellStyle name="Normal 5 6" xfId="68"/>
    <cellStyle name="Normal 5 7" xfId="71"/>
    <cellStyle name="Normal 5 8" xfId="101"/>
    <cellStyle name="Normal 6" xfId="11"/>
    <cellStyle name="Normal 6 2" xfId="17"/>
    <cellStyle name="Normal 6 3" xfId="32"/>
    <cellStyle name="Normal 6 4" xfId="167"/>
    <cellStyle name="Normal 7" xfId="33"/>
    <cellStyle name="Normal 8" xfId="7"/>
    <cellStyle name="Normal 9" xfId="8"/>
    <cellStyle name="Normal 9 2" xfId="35"/>
    <cellStyle name="Normal 9 3" xfId="100"/>
    <cellStyle name="Normal 9 4" xfId="129"/>
    <cellStyle name="Normal 9 5" xfId="168"/>
    <cellStyle name="Percent" xfId="4" builtinId="5"/>
    <cellStyle name="Percent 3" xfId="163"/>
    <cellStyle name="Percent 4" xfId="161"/>
  </cellStyles>
  <dxfs count="0"/>
  <tableStyles count="0" defaultTableStyle="TableStyleMedium9" defaultPivotStyle="PivotStyleLight16"/>
  <colors>
    <mruColors>
      <color rgb="FF99FFCC"/>
      <color rgb="FFFFFFCC"/>
      <color rgb="FFFFCC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chartsheet" Target="chartsheets/sheet1.xml"/><Relationship Id="rId7" Type="http://schemas.openxmlformats.org/officeDocument/2006/relationships/chartsheet" Target="chartsheets/sheet2.xml"/><Relationship Id="rId8" Type="http://schemas.openxmlformats.org/officeDocument/2006/relationships/worksheet" Target="worksheets/sheet6.xml"/><Relationship Id="rId9" Type="http://schemas.openxmlformats.org/officeDocument/2006/relationships/chartsheet" Target="chartsheets/sheet3.xml"/><Relationship Id="rId10" Type="http://schemas.openxmlformats.org/officeDocument/2006/relationships/theme" Target="theme/theme1.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0.0729162292213475"/>
                  <c:y val="-0.524616870807815"/>
                </c:manualLayout>
              </c:layout>
              <c:numFmt formatCode="General" sourceLinked="0"/>
            </c:trendlineLbl>
          </c:trendline>
          <c:xVal>
            <c:numRef>
              <c:f>'use this Run Reconstruction-1'!$B$6:$B$33</c:f>
              <c:numCache>
                <c:formatCode>#,##0</c:formatCode>
                <c:ptCount val="28"/>
                <c:pt idx="0">
                  <c:v>455.840866234269</c:v>
                </c:pt>
                <c:pt idx="1">
                  <c:v>2539.785510378508</c:v>
                </c:pt>
                <c:pt idx="2">
                  <c:v>11579.40694008355</c:v>
                </c:pt>
                <c:pt idx="3">
                  <c:v>10991.36136481864</c:v>
                </c:pt>
                <c:pt idx="4">
                  <c:v>9798.170377277856</c:v>
                </c:pt>
                <c:pt idx="5">
                  <c:v>14251.35837005788</c:v>
                </c:pt>
                <c:pt idx="6">
                  <c:v>3252.030669166872</c:v>
                </c:pt>
                <c:pt idx="7">
                  <c:v>31570.47473202844</c:v>
                </c:pt>
                <c:pt idx="8">
                  <c:v>73180.57166001424</c:v>
                </c:pt>
                <c:pt idx="9">
                  <c:v>45509.80918083026</c:v>
                </c:pt>
                <c:pt idx="10">
                  <c:v>10325.8165369998</c:v>
                </c:pt>
                <c:pt idx="11">
                  <c:v>25018.47288086998</c:v>
                </c:pt>
                <c:pt idx="12">
                  <c:v>39710.38298915492</c:v>
                </c:pt>
                <c:pt idx="13">
                  <c:v>34797.6183202359</c:v>
                </c:pt>
                <c:pt idx="14">
                  <c:v>19209.33476708387</c:v>
                </c:pt>
                <c:pt idx="15">
                  <c:v>28898.40606223901</c:v>
                </c:pt>
                <c:pt idx="16">
                  <c:v>45572.0</c:v>
                </c:pt>
                <c:pt idx="17">
                  <c:v>57753.57110364801</c:v>
                </c:pt>
                <c:pt idx="18">
                  <c:v>3032.198293452349</c:v>
                </c:pt>
                <c:pt idx="19">
                  <c:v>3666.994517782815</c:v>
                </c:pt>
                <c:pt idx="20">
                  <c:v>23987.72021155481</c:v>
                </c:pt>
                <c:pt idx="21">
                  <c:v>69892.769729965</c:v>
                </c:pt>
                <c:pt idx="22">
                  <c:v>77262.73388842402</c:v>
                </c:pt>
                <c:pt idx="23">
                  <c:v>65653.38279703167</c:v>
                </c:pt>
                <c:pt idx="24">
                  <c:v>103952.8553193621</c:v>
                </c:pt>
                <c:pt idx="25">
                  <c:v>66938.38331128674</c:v>
                </c:pt>
                <c:pt idx="26">
                  <c:v>10063.98296037935</c:v>
                </c:pt>
                <c:pt idx="27">
                  <c:v>12568.76061614167</c:v>
                </c:pt>
              </c:numCache>
            </c:numRef>
          </c:xVal>
          <c:yVal>
            <c:numRef>
              <c:f>'use this Run Reconstruction-1'!$G$6:$G$33</c:f>
              <c:numCache>
                <c:formatCode>0.0_);\(0.0\)</c:formatCode>
                <c:ptCount val="28"/>
                <c:pt idx="0">
                  <c:v>2.7086162680256</c:v>
                </c:pt>
                <c:pt idx="1">
                  <c:v>1.631870899084641</c:v>
                </c:pt>
                <c:pt idx="2">
                  <c:v>1.472705227000297</c:v>
                </c:pt>
                <c:pt idx="3">
                  <c:v>2.172029601949446</c:v>
                </c:pt>
                <c:pt idx="4">
                  <c:v>0.107038986145407</c:v>
                </c:pt>
                <c:pt idx="5">
                  <c:v>-0.0061438940651816</c:v>
                </c:pt>
                <c:pt idx="6">
                  <c:v>2.280055574461287</c:v>
                </c:pt>
                <c:pt idx="7">
                  <c:v>-0.161469714454983</c:v>
                </c:pt>
                <c:pt idx="8">
                  <c:v>-0.53208691399432</c:v>
                </c:pt>
                <c:pt idx="9">
                  <c:v>-0.3144720781548</c:v>
                </c:pt>
                <c:pt idx="10">
                  <c:v>1.280457566563454</c:v>
                </c:pt>
                <c:pt idx="11">
                  <c:v>0.546131185345084</c:v>
                </c:pt>
                <c:pt idx="12">
                  <c:v>0.514710498617872</c:v>
                </c:pt>
                <c:pt idx="13">
                  <c:v>-2.142610095007385</c:v>
                </c:pt>
                <c:pt idx="14">
                  <c:v>-1.135444891724397</c:v>
                </c:pt>
                <c:pt idx="15">
                  <c:v>-0.102702225207338</c:v>
                </c:pt>
                <c:pt idx="16">
                  <c:v>0.563857477925352</c:v>
                </c:pt>
                <c:pt idx="17">
                  <c:v>0.0587838192228079</c:v>
                </c:pt>
                <c:pt idx="18">
                  <c:v>3.375515049034786</c:v>
                </c:pt>
                <c:pt idx="19">
                  <c:v>3.002198556437414</c:v>
                </c:pt>
                <c:pt idx="20">
                  <c:v>1.762619084631007</c:v>
                </c:pt>
                <c:pt idx="21">
                  <c:v>-1.786695569569885</c:v>
                </c:pt>
                <c:pt idx="22">
                  <c:v>-1.568460553541757</c:v>
                </c:pt>
                <c:pt idx="23">
                  <c:v>-1.93178270580984</c:v>
                </c:pt>
                <c:pt idx="24">
                  <c:v>-1.30237259953238</c:v>
                </c:pt>
                <c:pt idx="25">
                  <c:v>-0.828649975089994</c:v>
                </c:pt>
                <c:pt idx="26">
                  <c:v>1.881952947023983</c:v>
                </c:pt>
                <c:pt idx="27">
                  <c:v>0.600956614115169</c:v>
                </c:pt>
              </c:numCache>
            </c:numRef>
          </c:yVal>
          <c:smooth val="0"/>
        </c:ser>
        <c:dLbls>
          <c:showLegendKey val="0"/>
          <c:showVal val="0"/>
          <c:showCatName val="0"/>
          <c:showSerName val="0"/>
          <c:showPercent val="0"/>
          <c:showBubbleSize val="0"/>
        </c:dLbls>
        <c:axId val="-2050698024"/>
        <c:axId val="-2049703016"/>
      </c:scatterChart>
      <c:valAx>
        <c:axId val="-2050698024"/>
        <c:scaling>
          <c:orientation val="minMax"/>
        </c:scaling>
        <c:delete val="0"/>
        <c:axPos val="b"/>
        <c:title>
          <c:tx>
            <c:rich>
              <a:bodyPr/>
              <a:lstStyle/>
              <a:p>
                <a:pPr>
                  <a:defRPr/>
                </a:pPr>
                <a:r>
                  <a:rPr lang="en-US"/>
                  <a:t>Spawners</a:t>
                </a:r>
              </a:p>
            </c:rich>
          </c:tx>
          <c:layout/>
          <c:overlay val="0"/>
        </c:title>
        <c:numFmt formatCode="#,##0" sourceLinked="1"/>
        <c:majorTickMark val="out"/>
        <c:minorTickMark val="none"/>
        <c:tickLblPos val="nextTo"/>
        <c:crossAx val="-2049703016"/>
        <c:crosses val="autoZero"/>
        <c:crossBetween val="midCat"/>
      </c:valAx>
      <c:valAx>
        <c:axId val="-2049703016"/>
        <c:scaling>
          <c:orientation val="minMax"/>
        </c:scaling>
        <c:delete val="0"/>
        <c:axPos val="l"/>
        <c:title>
          <c:tx>
            <c:rich>
              <a:bodyPr rot="-5400000" vert="horz"/>
              <a:lstStyle/>
              <a:p>
                <a:pPr>
                  <a:defRPr/>
                </a:pPr>
                <a:r>
                  <a:rPr lang="en-US"/>
                  <a:t>ln(Return/Spawner)</a:t>
                </a:r>
              </a:p>
            </c:rich>
          </c:tx>
          <c:layout>
            <c:manualLayout>
              <c:xMode val="edge"/>
              <c:yMode val="edge"/>
              <c:x val="0.0111111111111111"/>
              <c:y val="0.258581948089822"/>
            </c:manualLayout>
          </c:layout>
          <c:overlay val="0"/>
        </c:title>
        <c:numFmt formatCode="0.0_);\(0.0\)" sourceLinked="1"/>
        <c:majorTickMark val="out"/>
        <c:minorTickMark val="none"/>
        <c:tickLblPos val="nextTo"/>
        <c:crossAx val="-2050698024"/>
        <c:crosses val="autoZero"/>
        <c:crossBetween val="midCat"/>
      </c:valAx>
    </c:plotArea>
    <c:plotVisOnly val="1"/>
    <c:dispBlanksAs val="gap"/>
    <c:showDLblsOverMax val="0"/>
  </c:chart>
  <c:printSettings>
    <c:headerFooter/>
    <c:pageMargins b="0.750000000000001" l="0.700000000000001" r="0.700000000000001" t="0.750000000000001"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8575">
              <a:noFill/>
            </a:ln>
          </c:spPr>
          <c:trendline>
            <c:trendlineType val="linear"/>
            <c:dispRSqr val="1"/>
            <c:dispEq val="1"/>
            <c:trendlineLbl>
              <c:layout>
                <c:manualLayout>
                  <c:x val="0.0729162292213476"/>
                  <c:y val="-0.524616870807815"/>
                </c:manualLayout>
              </c:layout>
              <c:numFmt formatCode="General" sourceLinked="0"/>
            </c:trendlineLbl>
          </c:trendline>
          <c:xVal>
            <c:numRef>
              <c:f>'Run Reconstruction-2'!$B$6:$B$28</c:f>
              <c:numCache>
                <c:formatCode>#,##0</c:formatCode>
                <c:ptCount val="23"/>
                <c:pt idx="0">
                  <c:v>455.840866234269</c:v>
                </c:pt>
                <c:pt idx="1">
                  <c:v>2539.785510378508</c:v>
                </c:pt>
                <c:pt idx="2">
                  <c:v>11579.40694008355</c:v>
                </c:pt>
                <c:pt idx="3">
                  <c:v>10991.36136481864</c:v>
                </c:pt>
                <c:pt idx="4">
                  <c:v>9798.170377277856</c:v>
                </c:pt>
                <c:pt idx="5">
                  <c:v>14251.35837005788</c:v>
                </c:pt>
                <c:pt idx="6">
                  <c:v>3252.030669166872</c:v>
                </c:pt>
                <c:pt idx="7">
                  <c:v>31570.47473202844</c:v>
                </c:pt>
                <c:pt idx="8">
                  <c:v>73180.57166001424</c:v>
                </c:pt>
                <c:pt idx="9">
                  <c:v>45509.80918083026</c:v>
                </c:pt>
                <c:pt idx="10">
                  <c:v>10325.8165369998</c:v>
                </c:pt>
                <c:pt idx="11">
                  <c:v>25018.47288086998</c:v>
                </c:pt>
                <c:pt idx="12">
                  <c:v>39710.38298915492</c:v>
                </c:pt>
                <c:pt idx="13">
                  <c:v>34797.6183202359</c:v>
                </c:pt>
                <c:pt idx="14">
                  <c:v>19209.33476708387</c:v>
                </c:pt>
                <c:pt idx="15">
                  <c:v>28898.40606223901</c:v>
                </c:pt>
                <c:pt idx="16">
                  <c:v>41067.25279931654</c:v>
                </c:pt>
                <c:pt idx="17">
                  <c:v>57753.57110364801</c:v>
                </c:pt>
                <c:pt idx="18">
                  <c:v>3032.198293452349</c:v>
                </c:pt>
                <c:pt idx="19">
                  <c:v>3666.994517782815</c:v>
                </c:pt>
                <c:pt idx="20">
                  <c:v>23987.72021155481</c:v>
                </c:pt>
                <c:pt idx="21">
                  <c:v>69892.769729965</c:v>
                </c:pt>
                <c:pt idx="22">
                  <c:v>77262.73388842402</c:v>
                </c:pt>
              </c:numCache>
            </c:numRef>
          </c:xVal>
          <c:yVal>
            <c:numRef>
              <c:f>'Run Reconstruction-2'!$G$6:$G$28</c:f>
              <c:numCache>
                <c:formatCode>0.0_);\(0.0\)</c:formatCode>
                <c:ptCount val="23"/>
                <c:pt idx="0">
                  <c:v>2.405782040873168</c:v>
                </c:pt>
                <c:pt idx="1">
                  <c:v>1.45303492387219</c:v>
                </c:pt>
                <c:pt idx="2">
                  <c:v>0.982402760866574</c:v>
                </c:pt>
                <c:pt idx="3">
                  <c:v>1.518857677502899</c:v>
                </c:pt>
                <c:pt idx="4">
                  <c:v>-0.0523288843298431</c:v>
                </c:pt>
                <c:pt idx="5">
                  <c:v>-0.116141155836297</c:v>
                </c:pt>
                <c:pt idx="6">
                  <c:v>1.826478876294406</c:v>
                </c:pt>
                <c:pt idx="7">
                  <c:v>-0.217568923880161</c:v>
                </c:pt>
                <c:pt idx="8">
                  <c:v>-0.586857215019905</c:v>
                </c:pt>
                <c:pt idx="9">
                  <c:v>-0.610019111563475</c:v>
                </c:pt>
                <c:pt idx="10">
                  <c:v>1.079615735415362</c:v>
                </c:pt>
                <c:pt idx="11">
                  <c:v>0.018824798823992</c:v>
                </c:pt>
                <c:pt idx="12">
                  <c:v>0.781627737253923</c:v>
                </c:pt>
                <c:pt idx="13">
                  <c:v>-2.409254477202878</c:v>
                </c:pt>
                <c:pt idx="14">
                  <c:v>-1.144290565039914</c:v>
                </c:pt>
                <c:pt idx="15">
                  <c:v>-0.600615898258634</c:v>
                </c:pt>
                <c:pt idx="16">
                  <c:v>-0.587419690732128</c:v>
                </c:pt>
                <c:pt idx="17">
                  <c:v>0.0191745790945122</c:v>
                </c:pt>
                <c:pt idx="18">
                  <c:v>3.2187376423938</c:v>
                </c:pt>
                <c:pt idx="19">
                  <c:v>2.699226935759663</c:v>
                </c:pt>
                <c:pt idx="20">
                  <c:v>1.740879447181584</c:v>
                </c:pt>
                <c:pt idx="21">
                  <c:v>-1.82189520167975</c:v>
                </c:pt>
                <c:pt idx="22">
                  <c:v>-1.986384768205873</c:v>
                </c:pt>
              </c:numCache>
            </c:numRef>
          </c:yVal>
          <c:smooth val="0"/>
        </c:ser>
        <c:dLbls>
          <c:showLegendKey val="0"/>
          <c:showVal val="0"/>
          <c:showCatName val="0"/>
          <c:showSerName val="0"/>
          <c:showPercent val="0"/>
          <c:showBubbleSize val="0"/>
        </c:dLbls>
        <c:axId val="1835662984"/>
        <c:axId val="1821308824"/>
      </c:scatterChart>
      <c:valAx>
        <c:axId val="1835662984"/>
        <c:scaling>
          <c:orientation val="minMax"/>
        </c:scaling>
        <c:delete val="0"/>
        <c:axPos val="b"/>
        <c:title>
          <c:tx>
            <c:rich>
              <a:bodyPr/>
              <a:lstStyle/>
              <a:p>
                <a:pPr>
                  <a:defRPr/>
                </a:pPr>
                <a:r>
                  <a:rPr lang="en-US"/>
                  <a:t>Spawners</a:t>
                </a:r>
              </a:p>
            </c:rich>
          </c:tx>
          <c:layout/>
          <c:overlay val="0"/>
        </c:title>
        <c:numFmt formatCode="#,##0" sourceLinked="1"/>
        <c:majorTickMark val="out"/>
        <c:minorTickMark val="none"/>
        <c:tickLblPos val="nextTo"/>
        <c:crossAx val="1821308824"/>
        <c:crosses val="autoZero"/>
        <c:crossBetween val="midCat"/>
      </c:valAx>
      <c:valAx>
        <c:axId val="1821308824"/>
        <c:scaling>
          <c:orientation val="minMax"/>
        </c:scaling>
        <c:delete val="0"/>
        <c:axPos val="l"/>
        <c:title>
          <c:tx>
            <c:rich>
              <a:bodyPr rot="-5400000" vert="horz"/>
              <a:lstStyle/>
              <a:p>
                <a:pPr>
                  <a:defRPr/>
                </a:pPr>
                <a:r>
                  <a:rPr lang="en-US"/>
                  <a:t>ln(Return/Spawner)</a:t>
                </a:r>
              </a:p>
            </c:rich>
          </c:tx>
          <c:layout>
            <c:manualLayout>
              <c:xMode val="edge"/>
              <c:yMode val="edge"/>
              <c:x val="0.0111111111111111"/>
              <c:y val="0.258581948089822"/>
            </c:manualLayout>
          </c:layout>
          <c:overlay val="0"/>
        </c:title>
        <c:numFmt formatCode="0.0_);\(0.0\)" sourceLinked="1"/>
        <c:majorTickMark val="out"/>
        <c:minorTickMark val="none"/>
        <c:tickLblPos val="nextTo"/>
        <c:crossAx val="1835662984"/>
        <c:crosses val="autoZero"/>
        <c:crossBetween val="midCat"/>
      </c:valAx>
    </c:plotArea>
    <c:plotVisOnly val="1"/>
    <c:dispBlanksAs val="gap"/>
    <c:showDLblsOverMax val="0"/>
  </c:chart>
  <c:printSettings>
    <c:headerFooter/>
    <c:pageMargins b="0.750000000000001" l="0.700000000000001" r="0.700000000000001" t="0.750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299884666395"/>
          <c:y val="0.0440490789947346"/>
          <c:w val="0.852132057843177"/>
          <c:h val="0.811362439283648"/>
        </c:manualLayout>
      </c:layout>
      <c:lineChart>
        <c:grouping val="standard"/>
        <c:varyColors val="0"/>
        <c:ser>
          <c:idx val="0"/>
          <c:order val="0"/>
          <c:tx>
            <c:v>Lower Bound</c:v>
          </c:tx>
          <c:spPr>
            <a:ln w="50800">
              <a:solidFill>
                <a:schemeClr val="tx1"/>
              </a:solidFill>
              <a:prstDash val="sysDash"/>
            </a:ln>
          </c:spPr>
          <c:marker>
            <c:symbol val="none"/>
          </c:marker>
          <c:cat>
            <c:numRef>
              <c:f>'Summary Data'!$A$12:$A$46</c:f>
              <c:numCache>
                <c:formatCode>General</c:formatCode>
                <c:ptCount val="35"/>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pt idx="32">
                  <c:v>2014.0</c:v>
                </c:pt>
                <c:pt idx="33">
                  <c:v>2015.0</c:v>
                </c:pt>
                <c:pt idx="34">
                  <c:v>2016.0</c:v>
                </c:pt>
              </c:numCache>
            </c:numRef>
          </c:cat>
          <c:val>
            <c:numRef>
              <c:f>'Summary Data'!$J$12:$J$46</c:f>
              <c:numCache>
                <c:formatCode>General</c:formatCode>
                <c:ptCount val="35"/>
                <c:pt idx="21">
                  <c:v>7000.0</c:v>
                </c:pt>
                <c:pt idx="22">
                  <c:v>7000.0</c:v>
                </c:pt>
                <c:pt idx="23">
                  <c:v>7000.0</c:v>
                </c:pt>
                <c:pt idx="24">
                  <c:v>7000.0</c:v>
                </c:pt>
                <c:pt idx="25">
                  <c:v>7000.0</c:v>
                </c:pt>
                <c:pt idx="26">
                  <c:v>7000.0</c:v>
                </c:pt>
                <c:pt idx="27">
                  <c:v>7000.0</c:v>
                </c:pt>
                <c:pt idx="28">
                  <c:v>7000.0</c:v>
                </c:pt>
                <c:pt idx="29">
                  <c:v>7000.0</c:v>
                </c:pt>
                <c:pt idx="30">
                  <c:v>7000.0</c:v>
                </c:pt>
                <c:pt idx="31">
                  <c:v>7000.0</c:v>
                </c:pt>
                <c:pt idx="32">
                  <c:v>7000.0</c:v>
                </c:pt>
                <c:pt idx="33">
                  <c:v>7000.0</c:v>
                </c:pt>
                <c:pt idx="34">
                  <c:v>7000.0</c:v>
                </c:pt>
              </c:numCache>
            </c:numRef>
          </c:val>
          <c:smooth val="0"/>
        </c:ser>
        <c:ser>
          <c:idx val="2"/>
          <c:order val="1"/>
          <c:tx>
            <c:v>Escapement Index</c:v>
          </c:tx>
          <c:spPr>
            <a:ln w="12700">
              <a:solidFill>
                <a:schemeClr val="tx1"/>
              </a:solidFill>
              <a:prstDash val="solid"/>
            </a:ln>
          </c:spPr>
          <c:marker>
            <c:symbol val="circle"/>
            <c:size val="10"/>
            <c:spPr>
              <a:solidFill>
                <a:srgbClr val="000000"/>
              </a:solidFill>
              <a:ln>
                <a:solidFill>
                  <a:srgbClr val="FFFFFF"/>
                </a:solidFill>
                <a:prstDash val="solid"/>
              </a:ln>
            </c:spPr>
          </c:marker>
          <c:dPt>
            <c:idx val="16"/>
            <c:marker>
              <c:spPr>
                <a:solidFill>
                  <a:schemeClr val="bg1"/>
                </a:solidFill>
                <a:ln w="25400">
                  <a:solidFill>
                    <a:schemeClr val="tx1"/>
                  </a:solidFill>
                  <a:prstDash val="solid"/>
                </a:ln>
              </c:spPr>
            </c:marker>
            <c:bubble3D val="0"/>
          </c:dPt>
          <c:cat>
            <c:numRef>
              <c:f>'Summary Data'!$A$12:$A$46</c:f>
              <c:numCache>
                <c:formatCode>General</c:formatCode>
                <c:ptCount val="35"/>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pt idx="32">
                  <c:v>2014.0</c:v>
                </c:pt>
                <c:pt idx="33">
                  <c:v>2015.0</c:v>
                </c:pt>
                <c:pt idx="34">
                  <c:v>2016.0</c:v>
                </c:pt>
              </c:numCache>
            </c:numRef>
          </c:cat>
          <c:val>
            <c:numRef>
              <c:f>'Summary Data'!$C$12:$C$46</c:f>
              <c:numCache>
                <c:formatCode>#,##0</c:formatCode>
                <c:ptCount val="35"/>
                <c:pt idx="0">
                  <c:v>455.840866234269</c:v>
                </c:pt>
                <c:pt idx="1">
                  <c:v>2539.785510378508</c:v>
                </c:pt>
                <c:pt idx="2">
                  <c:v>11579.40694008355</c:v>
                </c:pt>
                <c:pt idx="3">
                  <c:v>10991.36136481864</c:v>
                </c:pt>
                <c:pt idx="4">
                  <c:v>9798.170377277856</c:v>
                </c:pt>
                <c:pt idx="5">
                  <c:v>14251.35837005788</c:v>
                </c:pt>
                <c:pt idx="6">
                  <c:v>3252.030669166872</c:v>
                </c:pt>
                <c:pt idx="7">
                  <c:v>31570.47473202844</c:v>
                </c:pt>
                <c:pt idx="8">
                  <c:v>73180.57166001424</c:v>
                </c:pt>
                <c:pt idx="9">
                  <c:v>45509.80918083026</c:v>
                </c:pt>
                <c:pt idx="10">
                  <c:v>10325.8165369998</c:v>
                </c:pt>
                <c:pt idx="11">
                  <c:v>25018.47288086998</c:v>
                </c:pt>
                <c:pt idx="12">
                  <c:v>39710.38298915492</c:v>
                </c:pt>
                <c:pt idx="13">
                  <c:v>34797.6183202359</c:v>
                </c:pt>
                <c:pt idx="14">
                  <c:v>19209.33476708387</c:v>
                </c:pt>
                <c:pt idx="15">
                  <c:v>28898.40606223901</c:v>
                </c:pt>
                <c:pt idx="16">
                  <c:v>45572.0</c:v>
                </c:pt>
                <c:pt idx="17">
                  <c:v>57753.57110364801</c:v>
                </c:pt>
                <c:pt idx="18">
                  <c:v>3032.198293452349</c:v>
                </c:pt>
                <c:pt idx="19">
                  <c:v>3666.994517782815</c:v>
                </c:pt>
                <c:pt idx="20">
                  <c:v>23987.72021155481</c:v>
                </c:pt>
                <c:pt idx="21">
                  <c:v>69892.769729965</c:v>
                </c:pt>
                <c:pt idx="22">
                  <c:v>77262.73388842402</c:v>
                </c:pt>
                <c:pt idx="23">
                  <c:v>65653.38279703167</c:v>
                </c:pt>
                <c:pt idx="24">
                  <c:v>103952.8553193621</c:v>
                </c:pt>
                <c:pt idx="25">
                  <c:v>66938.38331128674</c:v>
                </c:pt>
                <c:pt idx="26">
                  <c:v>10063.98296037935</c:v>
                </c:pt>
                <c:pt idx="27">
                  <c:v>12568.76061614167</c:v>
                </c:pt>
                <c:pt idx="28">
                  <c:v>17156.2309459448</c:v>
                </c:pt>
                <c:pt idx="29">
                  <c:v>22719.73299576675</c:v>
                </c:pt>
                <c:pt idx="30">
                  <c:v>40943.87653346446</c:v>
                </c:pt>
                <c:pt idx="31">
                  <c:v>49124.28073770135</c:v>
                </c:pt>
                <c:pt idx="32">
                  <c:v>19936.12535706422</c:v>
                </c:pt>
                <c:pt idx="33">
                  <c:v>13982.74442954216</c:v>
                </c:pt>
                <c:pt idx="34">
                  <c:v>22774.0</c:v>
                </c:pt>
              </c:numCache>
            </c:numRef>
          </c:val>
          <c:smooth val="0"/>
        </c:ser>
        <c:ser>
          <c:idx val="1"/>
          <c:order val="2"/>
          <c:tx>
            <c:v>Upper Bound</c:v>
          </c:tx>
          <c:spPr>
            <a:ln w="50800">
              <a:solidFill>
                <a:schemeClr val="tx1"/>
              </a:solidFill>
            </a:ln>
          </c:spPr>
          <c:marker>
            <c:symbol val="none"/>
          </c:marker>
          <c:cat>
            <c:numRef>
              <c:f>'Summary Data'!$A$12:$A$46</c:f>
              <c:numCache>
                <c:formatCode>General</c:formatCode>
                <c:ptCount val="35"/>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pt idx="32">
                  <c:v>2014.0</c:v>
                </c:pt>
                <c:pt idx="33">
                  <c:v>2015.0</c:v>
                </c:pt>
                <c:pt idx="34">
                  <c:v>2016.0</c:v>
                </c:pt>
              </c:numCache>
            </c:numRef>
          </c:cat>
          <c:val>
            <c:numRef>
              <c:f>'Summary Data'!$K$12:$K$46</c:f>
              <c:numCache>
                <c:formatCode>General</c:formatCode>
                <c:ptCount val="35"/>
                <c:pt idx="21">
                  <c:v>25000.0</c:v>
                </c:pt>
                <c:pt idx="22">
                  <c:v>25000.0</c:v>
                </c:pt>
                <c:pt idx="23">
                  <c:v>25000.0</c:v>
                </c:pt>
                <c:pt idx="24">
                  <c:v>25000.0</c:v>
                </c:pt>
                <c:pt idx="25">
                  <c:v>25000.0</c:v>
                </c:pt>
                <c:pt idx="26">
                  <c:v>25000.0</c:v>
                </c:pt>
                <c:pt idx="27">
                  <c:v>25000.0</c:v>
                </c:pt>
                <c:pt idx="28">
                  <c:v>25000.0</c:v>
                </c:pt>
                <c:pt idx="29">
                  <c:v>25000.0</c:v>
                </c:pt>
                <c:pt idx="30">
                  <c:v>25000.0</c:v>
                </c:pt>
                <c:pt idx="31">
                  <c:v>25000.0</c:v>
                </c:pt>
                <c:pt idx="32">
                  <c:v>25000.0</c:v>
                </c:pt>
                <c:pt idx="33">
                  <c:v>25000.0</c:v>
                </c:pt>
                <c:pt idx="34">
                  <c:v>25000.0</c:v>
                </c:pt>
              </c:numCache>
            </c:numRef>
          </c:val>
          <c:smooth val="0"/>
        </c:ser>
        <c:dLbls>
          <c:showLegendKey val="0"/>
          <c:showVal val="0"/>
          <c:showCatName val="0"/>
          <c:showSerName val="0"/>
          <c:showPercent val="0"/>
          <c:showBubbleSize val="0"/>
        </c:dLbls>
        <c:marker val="1"/>
        <c:smooth val="0"/>
        <c:axId val="1821802936"/>
        <c:axId val="1830448136"/>
      </c:lineChart>
      <c:catAx>
        <c:axId val="182180293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000"/>
            </a:pPr>
            <a:endParaRPr lang="en-US"/>
          </a:p>
        </c:txPr>
        <c:crossAx val="1830448136"/>
        <c:crosses val="autoZero"/>
        <c:auto val="1"/>
        <c:lblAlgn val="ctr"/>
        <c:lblOffset val="100"/>
        <c:tickLblSkip val="2"/>
        <c:tickMarkSkip val="1"/>
        <c:noMultiLvlLbl val="0"/>
      </c:catAx>
      <c:valAx>
        <c:axId val="1830448136"/>
        <c:scaling>
          <c:orientation val="minMax"/>
        </c:scaling>
        <c:delete val="0"/>
        <c:axPos val="l"/>
        <c:title>
          <c:tx>
            <c:rich>
              <a:bodyPr/>
              <a:lstStyle/>
              <a:p>
                <a:pPr>
                  <a:defRPr sz="2000" b="1"/>
                </a:pPr>
                <a:r>
                  <a:rPr lang="en-US" sz="2000" b="1"/>
                  <a:t>Escapement (thousands)</a:t>
                </a:r>
              </a:p>
            </c:rich>
          </c:tx>
          <c:layout>
            <c:manualLayout>
              <c:xMode val="edge"/>
              <c:yMode val="edge"/>
              <c:x val="0.0030503173835583"/>
              <c:y val="0.24360172836263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2000"/>
            </a:pPr>
            <a:endParaRPr lang="en-US"/>
          </a:p>
        </c:txPr>
        <c:crossAx val="1821802936"/>
        <c:crosses val="autoZero"/>
        <c:crossBetween val="midCat"/>
        <c:dispUnits>
          <c:builtInUnit val="thousands"/>
        </c:dispUnits>
      </c:valAx>
      <c:spPr>
        <a:noFill/>
        <a:ln w="12700">
          <a:solidFill>
            <a:srgbClr val="808080"/>
          </a:solidFill>
          <a:prstDash val="solid"/>
        </a:ln>
      </c:spPr>
    </c:plotArea>
    <c:legend>
      <c:legendPos val="r"/>
      <c:legendEntry>
        <c:idx val="1"/>
        <c:delete val="1"/>
      </c:legendEntry>
      <c:layout>
        <c:manualLayout>
          <c:xMode val="edge"/>
          <c:yMode val="edge"/>
          <c:x val="0.132467303412688"/>
          <c:y val="0.155425603185762"/>
          <c:w val="0.217514569441379"/>
          <c:h val="0.114398824553344"/>
        </c:manualLayout>
      </c:layout>
      <c:overlay val="1"/>
      <c:txPr>
        <a:bodyPr/>
        <a:lstStyle/>
        <a:p>
          <a:pPr>
            <a:defRPr sz="1600"/>
          </a:pPr>
          <a:endParaRPr lang="en-US"/>
        </a:p>
      </c:txPr>
    </c:legend>
    <c:plotVisOnly val="1"/>
    <c:dispBlanksAs val="gap"/>
    <c:showDLblsOverMax val="0"/>
  </c:chart>
  <c:spPr>
    <a:noFill/>
    <a:ln w="9525">
      <a:noFill/>
    </a:ln>
  </c:spPr>
  <c:txPr>
    <a:bodyPr/>
    <a:lstStyle/>
    <a:p>
      <a:pPr>
        <a:defRPr sz="18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299884666395"/>
          <c:y val="0.0440490789947346"/>
          <c:w val="0.852132057843177"/>
          <c:h val="0.811362439283648"/>
        </c:manualLayout>
      </c:layout>
      <c:barChart>
        <c:barDir val="col"/>
        <c:grouping val="clustered"/>
        <c:varyColors val="0"/>
        <c:ser>
          <c:idx val="2"/>
          <c:order val="0"/>
          <c:tx>
            <c:v>Escapement Index</c:v>
          </c:tx>
          <c:spPr>
            <a:solidFill>
              <a:schemeClr val="bg1">
                <a:lumMod val="65000"/>
              </a:schemeClr>
            </a:solidFill>
            <a:ln w="12700">
              <a:solidFill>
                <a:schemeClr val="tx1"/>
              </a:solidFill>
              <a:prstDash val="solid"/>
            </a:ln>
          </c:spPr>
          <c:invertIfNegative val="0"/>
          <c:dPt>
            <c:idx val="16"/>
            <c:invertIfNegative val="0"/>
            <c:bubble3D val="0"/>
          </c:dPt>
          <c:cat>
            <c:numRef>
              <c:f>'Summary Data'!$A$12:$A$46</c:f>
              <c:numCache>
                <c:formatCode>General</c:formatCode>
                <c:ptCount val="35"/>
                <c:pt idx="0">
                  <c:v>1982.0</c:v>
                </c:pt>
                <c:pt idx="1">
                  <c:v>1983.0</c:v>
                </c:pt>
                <c:pt idx="2">
                  <c:v>1984.0</c:v>
                </c:pt>
                <c:pt idx="3">
                  <c:v>1985.0</c:v>
                </c:pt>
                <c:pt idx="4">
                  <c:v>1986.0</c:v>
                </c:pt>
                <c:pt idx="5">
                  <c:v>1987.0</c:v>
                </c:pt>
                <c:pt idx="6">
                  <c:v>1988.0</c:v>
                </c:pt>
                <c:pt idx="7">
                  <c:v>1989.0</c:v>
                </c:pt>
                <c:pt idx="8">
                  <c:v>1990.0</c:v>
                </c:pt>
                <c:pt idx="9">
                  <c:v>1991.0</c:v>
                </c:pt>
                <c:pt idx="10">
                  <c:v>1992.0</c:v>
                </c:pt>
                <c:pt idx="11">
                  <c:v>1993.0</c:v>
                </c:pt>
                <c:pt idx="12">
                  <c:v>1994.0</c:v>
                </c:pt>
                <c:pt idx="13">
                  <c:v>1995.0</c:v>
                </c:pt>
                <c:pt idx="14">
                  <c:v>1996.0</c:v>
                </c:pt>
                <c:pt idx="15">
                  <c:v>1997.0</c:v>
                </c:pt>
                <c:pt idx="16">
                  <c:v>1998.0</c:v>
                </c:pt>
                <c:pt idx="17">
                  <c:v>1999.0</c:v>
                </c:pt>
                <c:pt idx="18">
                  <c:v>2000.0</c:v>
                </c:pt>
                <c:pt idx="19">
                  <c:v>2001.0</c:v>
                </c:pt>
                <c:pt idx="20">
                  <c:v>2002.0</c:v>
                </c:pt>
                <c:pt idx="21">
                  <c:v>2003.0</c:v>
                </c:pt>
                <c:pt idx="22">
                  <c:v>2004.0</c:v>
                </c:pt>
                <c:pt idx="23">
                  <c:v>2005.0</c:v>
                </c:pt>
                <c:pt idx="24">
                  <c:v>2006.0</c:v>
                </c:pt>
                <c:pt idx="25">
                  <c:v>2007.0</c:v>
                </c:pt>
                <c:pt idx="26">
                  <c:v>2008.0</c:v>
                </c:pt>
                <c:pt idx="27">
                  <c:v>2009.0</c:v>
                </c:pt>
                <c:pt idx="28">
                  <c:v>2010.0</c:v>
                </c:pt>
                <c:pt idx="29">
                  <c:v>2011.0</c:v>
                </c:pt>
                <c:pt idx="30">
                  <c:v>2012.0</c:v>
                </c:pt>
                <c:pt idx="31">
                  <c:v>2013.0</c:v>
                </c:pt>
                <c:pt idx="32">
                  <c:v>2014.0</c:v>
                </c:pt>
                <c:pt idx="33">
                  <c:v>2015.0</c:v>
                </c:pt>
                <c:pt idx="34">
                  <c:v>2016.0</c:v>
                </c:pt>
              </c:numCache>
            </c:numRef>
          </c:cat>
          <c:val>
            <c:numRef>
              <c:f>'Summary Data'!$H$12:$H$46</c:f>
              <c:numCache>
                <c:formatCode>#,##0</c:formatCode>
                <c:ptCount val="35"/>
                <c:pt idx="0">
                  <c:v>554.8408662342689</c:v>
                </c:pt>
                <c:pt idx="1">
                  <c:v>2575.785510378508</c:v>
                </c:pt>
                <c:pt idx="2">
                  <c:v>11796.40694008355</c:v>
                </c:pt>
                <c:pt idx="3">
                  <c:v>11100.36136481864</c:v>
                </c:pt>
                <c:pt idx="4">
                  <c:v>9907.170377277856</c:v>
                </c:pt>
                <c:pt idx="5">
                  <c:v>14450.35837005788</c:v>
                </c:pt>
                <c:pt idx="6">
                  <c:v>3677.030669166872</c:v>
                </c:pt>
                <c:pt idx="7">
                  <c:v>34790.47473202844</c:v>
                </c:pt>
                <c:pt idx="8">
                  <c:v>79209.57166001424</c:v>
                </c:pt>
                <c:pt idx="9">
                  <c:v>48846.80918083026</c:v>
                </c:pt>
                <c:pt idx="10">
                  <c:v>10421.8165369998</c:v>
                </c:pt>
                <c:pt idx="11">
                  <c:v>27474.47288086998</c:v>
                </c:pt>
                <c:pt idx="12">
                  <c:v>44551.38298915492</c:v>
                </c:pt>
                <c:pt idx="13">
                  <c:v>38411.6183202359</c:v>
                </c:pt>
                <c:pt idx="14">
                  <c:v>23624.33476708387</c:v>
                </c:pt>
                <c:pt idx="15">
                  <c:v>32720.40606223901</c:v>
                </c:pt>
                <c:pt idx="16">
                  <c:v>51602.0</c:v>
                </c:pt>
                <c:pt idx="17">
                  <c:v>67706.571103648</c:v>
                </c:pt>
                <c:pt idx="18">
                  <c:v>3127.198293452349</c:v>
                </c:pt>
                <c:pt idx="19">
                  <c:v>3716.994517782815</c:v>
                </c:pt>
                <c:pt idx="20">
                  <c:v>25403.72021155481</c:v>
                </c:pt>
                <c:pt idx="21">
                  <c:v>80877.769729965</c:v>
                </c:pt>
                <c:pt idx="22">
                  <c:v>89164.73388842402</c:v>
                </c:pt>
                <c:pt idx="23">
                  <c:v>70952.38279703167</c:v>
                </c:pt>
                <c:pt idx="24">
                  <c:v>125535.8553193621</c:v>
                </c:pt>
                <c:pt idx="25">
                  <c:v>81522.38331128674</c:v>
                </c:pt>
                <c:pt idx="26">
                  <c:v>10742.98296037935</c:v>
                </c:pt>
                <c:pt idx="27">
                  <c:v>13717.76061614167</c:v>
                </c:pt>
                <c:pt idx="28">
                  <c:v>18812.2309459448</c:v>
                </c:pt>
                <c:pt idx="29">
                  <c:v>24121.73299576675</c:v>
                </c:pt>
                <c:pt idx="30">
                  <c:v>45920.87653346446</c:v>
                </c:pt>
                <c:pt idx="31">
                  <c:v>56780.28073770135</c:v>
                </c:pt>
                <c:pt idx="32">
                  <c:v>21828.12535706422</c:v>
                </c:pt>
                <c:pt idx="33">
                  <c:v>14502.74442954216</c:v>
                </c:pt>
                <c:pt idx="34">
                  <c:v>25014.0</c:v>
                </c:pt>
              </c:numCache>
            </c:numRef>
          </c:val>
        </c:ser>
        <c:dLbls>
          <c:showLegendKey val="0"/>
          <c:showVal val="0"/>
          <c:showCatName val="0"/>
          <c:showSerName val="0"/>
          <c:showPercent val="0"/>
          <c:showBubbleSize val="0"/>
        </c:dLbls>
        <c:gapWidth val="71"/>
        <c:axId val="1851585496"/>
        <c:axId val="1849378616"/>
      </c:barChart>
      <c:catAx>
        <c:axId val="1851585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2000"/>
            </a:pPr>
            <a:endParaRPr lang="en-US"/>
          </a:p>
        </c:txPr>
        <c:crossAx val="1849378616"/>
        <c:crosses val="autoZero"/>
        <c:auto val="1"/>
        <c:lblAlgn val="ctr"/>
        <c:lblOffset val="100"/>
        <c:noMultiLvlLbl val="0"/>
      </c:catAx>
      <c:valAx>
        <c:axId val="1849378616"/>
        <c:scaling>
          <c:orientation val="minMax"/>
        </c:scaling>
        <c:delete val="0"/>
        <c:axPos val="l"/>
        <c:title>
          <c:tx>
            <c:rich>
              <a:bodyPr/>
              <a:lstStyle/>
              <a:p>
                <a:pPr>
                  <a:defRPr sz="2000" b="1"/>
                </a:pPr>
                <a:r>
                  <a:rPr lang="en-US" sz="2000" b="1"/>
                  <a:t>Run (thousands)</a:t>
                </a:r>
              </a:p>
            </c:rich>
          </c:tx>
          <c:layout>
            <c:manualLayout>
              <c:xMode val="edge"/>
              <c:yMode val="edge"/>
              <c:x val="0.0030503173835583"/>
              <c:y val="0.24360172836263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2000"/>
            </a:pPr>
            <a:endParaRPr lang="en-US"/>
          </a:p>
        </c:txPr>
        <c:crossAx val="1851585496"/>
        <c:crosses val="autoZero"/>
        <c:crossBetween val="between"/>
        <c:dispUnits>
          <c:builtInUnit val="thousands"/>
        </c:dispUnits>
      </c:valAx>
      <c:spPr>
        <a:noFill/>
        <a:ln w="12700">
          <a:solidFill>
            <a:srgbClr val="808080"/>
          </a:solidFill>
          <a:prstDash val="solid"/>
        </a:ln>
      </c:spPr>
    </c:plotArea>
    <c:plotVisOnly val="1"/>
    <c:dispBlanksAs val="gap"/>
    <c:showDLblsOverMax val="0"/>
  </c:chart>
  <c:spPr>
    <a:noFill/>
    <a:ln w="9525">
      <a:noFill/>
    </a:ln>
  </c:spPr>
  <c:txPr>
    <a:bodyPr/>
    <a:lstStyle/>
    <a:p>
      <a:pPr>
        <a:defRPr sz="1800" b="0" i="0" u="none" strike="noStrike" baseline="0">
          <a:solidFill>
            <a:srgbClr val="000000"/>
          </a:solidFill>
          <a:latin typeface="Arial"/>
          <a:ea typeface="Arial"/>
          <a:cs typeface="Arial"/>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b="1"/>
            </a:pPr>
            <a:r>
              <a:rPr lang="en-US" b="1"/>
              <a:t>Redoubt Lake Sockeye Salmon</a:t>
            </a:r>
          </a:p>
        </c:rich>
      </c:tx>
      <c:layout/>
      <c:overlay val="1"/>
    </c:title>
    <c:autoTitleDeleted val="0"/>
    <c:plotArea>
      <c:layout>
        <c:manualLayout>
          <c:layoutTarget val="inner"/>
          <c:xMode val="edge"/>
          <c:yMode val="edge"/>
          <c:x val="0.130299884666395"/>
          <c:y val="0.10254628912687"/>
          <c:w val="0.852132057843177"/>
          <c:h val="0.752865180808526"/>
        </c:manualLayout>
      </c:layout>
      <c:barChart>
        <c:barDir val="col"/>
        <c:grouping val="stacked"/>
        <c:varyColors val="0"/>
        <c:ser>
          <c:idx val="2"/>
          <c:order val="0"/>
          <c:tx>
            <c:v>Weir count</c:v>
          </c:tx>
          <c:spPr>
            <a:solidFill>
              <a:schemeClr val="bg1">
                <a:lumMod val="65000"/>
              </a:schemeClr>
            </a:solidFill>
            <a:ln w="12700">
              <a:solidFill>
                <a:schemeClr val="tx1"/>
              </a:solidFill>
              <a:prstDash val="solid"/>
            </a:ln>
          </c:spPr>
          <c:invertIfNegative val="0"/>
          <c:dPt>
            <c:idx val="16"/>
            <c:invertIfNegative val="0"/>
            <c:bubble3D val="0"/>
          </c:dPt>
          <c:cat>
            <c:numRef>
              <c:f>Historic!$A$7:$A$122</c:f>
              <c:numCache>
                <c:formatCode>General</c:formatCode>
                <c:ptCount val="116"/>
                <c:pt idx="0">
                  <c:v>1901.0</c:v>
                </c:pt>
                <c:pt idx="1">
                  <c:v>1902.0</c:v>
                </c:pt>
                <c:pt idx="2">
                  <c:v>1903.0</c:v>
                </c:pt>
                <c:pt idx="3">
                  <c:v>1904.0</c:v>
                </c:pt>
                <c:pt idx="4">
                  <c:v>1905.0</c:v>
                </c:pt>
                <c:pt idx="5">
                  <c:v>1906.0</c:v>
                </c:pt>
                <c:pt idx="6">
                  <c:v>1907.0</c:v>
                </c:pt>
                <c:pt idx="7">
                  <c:v>1908.0</c:v>
                </c:pt>
                <c:pt idx="8">
                  <c:v>1909.0</c:v>
                </c:pt>
                <c:pt idx="9">
                  <c:v>1910.0</c:v>
                </c:pt>
                <c:pt idx="10">
                  <c:v>1911.0</c:v>
                </c:pt>
                <c:pt idx="11">
                  <c:v>1912.0</c:v>
                </c:pt>
                <c:pt idx="12">
                  <c:v>1913.0</c:v>
                </c:pt>
                <c:pt idx="13">
                  <c:v>1914.0</c:v>
                </c:pt>
                <c:pt idx="14">
                  <c:v>1915.0</c:v>
                </c:pt>
                <c:pt idx="15">
                  <c:v>1916.0</c:v>
                </c:pt>
                <c:pt idx="16">
                  <c:v>1917.0</c:v>
                </c:pt>
                <c:pt idx="17">
                  <c:v>1918.0</c:v>
                </c:pt>
                <c:pt idx="18">
                  <c:v>1919.0</c:v>
                </c:pt>
                <c:pt idx="19">
                  <c:v>1920.0</c:v>
                </c:pt>
                <c:pt idx="20">
                  <c:v>1921.0</c:v>
                </c:pt>
                <c:pt idx="21">
                  <c:v>1922.0</c:v>
                </c:pt>
                <c:pt idx="22">
                  <c:v>1923.0</c:v>
                </c:pt>
                <c:pt idx="23">
                  <c:v>1924.0</c:v>
                </c:pt>
                <c:pt idx="24">
                  <c:v>1925.0</c:v>
                </c:pt>
                <c:pt idx="25">
                  <c:v>1926.0</c:v>
                </c:pt>
                <c:pt idx="26">
                  <c:v>1927.0</c:v>
                </c:pt>
                <c:pt idx="27">
                  <c:v>1928.0</c:v>
                </c:pt>
                <c:pt idx="28">
                  <c:v>1929.0</c:v>
                </c:pt>
                <c:pt idx="29">
                  <c:v>1930.0</c:v>
                </c:pt>
                <c:pt idx="30">
                  <c:v>1931.0</c:v>
                </c:pt>
                <c:pt idx="31">
                  <c:v>1932.0</c:v>
                </c:pt>
                <c:pt idx="32">
                  <c:v>1933.0</c:v>
                </c:pt>
                <c:pt idx="33">
                  <c:v>1934.0</c:v>
                </c:pt>
                <c:pt idx="34">
                  <c:v>1935.0</c:v>
                </c:pt>
                <c:pt idx="35">
                  <c:v>1936.0</c:v>
                </c:pt>
                <c:pt idx="36">
                  <c:v>1937.0</c:v>
                </c:pt>
                <c:pt idx="37">
                  <c:v>1938.0</c:v>
                </c:pt>
                <c:pt idx="38">
                  <c:v>1939.0</c:v>
                </c:pt>
                <c:pt idx="39">
                  <c:v>1940.0</c:v>
                </c:pt>
                <c:pt idx="40">
                  <c:v>1941.0</c:v>
                </c:pt>
                <c:pt idx="41">
                  <c:v>1942.0</c:v>
                </c:pt>
                <c:pt idx="42">
                  <c:v>1943.0</c:v>
                </c:pt>
                <c:pt idx="43">
                  <c:v>1944.0</c:v>
                </c:pt>
                <c:pt idx="44">
                  <c:v>1945.0</c:v>
                </c:pt>
                <c:pt idx="45">
                  <c:v>1946.0</c:v>
                </c:pt>
                <c:pt idx="46">
                  <c:v>1947.0</c:v>
                </c:pt>
                <c:pt idx="47">
                  <c:v>1948.0</c:v>
                </c:pt>
                <c:pt idx="48">
                  <c:v>1949.0</c:v>
                </c:pt>
                <c:pt idx="49">
                  <c:v>1950.0</c:v>
                </c:pt>
                <c:pt idx="50">
                  <c:v>1951.0</c:v>
                </c:pt>
                <c:pt idx="51">
                  <c:v>1952.0</c:v>
                </c:pt>
                <c:pt idx="52">
                  <c:v>1953.0</c:v>
                </c:pt>
                <c:pt idx="53">
                  <c:v>1954.0</c:v>
                </c:pt>
                <c:pt idx="54">
                  <c:v>1955.0</c:v>
                </c:pt>
                <c:pt idx="55">
                  <c:v>1956.0</c:v>
                </c:pt>
                <c:pt idx="56">
                  <c:v>1957.0</c:v>
                </c:pt>
                <c:pt idx="57">
                  <c:v>1958.0</c:v>
                </c:pt>
                <c:pt idx="58">
                  <c:v>1959.0</c:v>
                </c:pt>
                <c:pt idx="59">
                  <c:v>1960.0</c:v>
                </c:pt>
                <c:pt idx="60">
                  <c:v>1961.0</c:v>
                </c:pt>
                <c:pt idx="61">
                  <c:v>1962.0</c:v>
                </c:pt>
                <c:pt idx="62">
                  <c:v>1963.0</c:v>
                </c:pt>
                <c:pt idx="63">
                  <c:v>1964.0</c:v>
                </c:pt>
                <c:pt idx="64">
                  <c:v>1965.0</c:v>
                </c:pt>
                <c:pt idx="65">
                  <c:v>1966.0</c:v>
                </c:pt>
                <c:pt idx="66">
                  <c:v>1967.0</c:v>
                </c:pt>
                <c:pt idx="67">
                  <c:v>1968.0</c:v>
                </c:pt>
                <c:pt idx="68">
                  <c:v>1969.0</c:v>
                </c:pt>
                <c:pt idx="69">
                  <c:v>1970.0</c:v>
                </c:pt>
                <c:pt idx="70">
                  <c:v>1971.0</c:v>
                </c:pt>
                <c:pt idx="71">
                  <c:v>1972.0</c:v>
                </c:pt>
                <c:pt idx="72">
                  <c:v>1973.0</c:v>
                </c:pt>
                <c:pt idx="73">
                  <c:v>1974.0</c:v>
                </c:pt>
                <c:pt idx="74">
                  <c:v>1975.0</c:v>
                </c:pt>
                <c:pt idx="75">
                  <c:v>1976.0</c:v>
                </c:pt>
                <c:pt idx="76">
                  <c:v>1977.0</c:v>
                </c:pt>
                <c:pt idx="77">
                  <c:v>1978.0</c:v>
                </c:pt>
                <c:pt idx="78">
                  <c:v>1979.0</c:v>
                </c:pt>
                <c:pt idx="79">
                  <c:v>1980.0</c:v>
                </c:pt>
                <c:pt idx="80">
                  <c:v>1981.0</c:v>
                </c:pt>
                <c:pt idx="81">
                  <c:v>1982.0</c:v>
                </c:pt>
                <c:pt idx="82">
                  <c:v>1983.0</c:v>
                </c:pt>
                <c:pt idx="83">
                  <c:v>1984.0</c:v>
                </c:pt>
                <c:pt idx="84">
                  <c:v>1985.0</c:v>
                </c:pt>
                <c:pt idx="85">
                  <c:v>1986.0</c:v>
                </c:pt>
                <c:pt idx="86">
                  <c:v>1987.0</c:v>
                </c:pt>
                <c:pt idx="87">
                  <c:v>1988.0</c:v>
                </c:pt>
                <c:pt idx="88">
                  <c:v>1989.0</c:v>
                </c:pt>
                <c:pt idx="89">
                  <c:v>1990.0</c:v>
                </c:pt>
                <c:pt idx="90">
                  <c:v>1991.0</c:v>
                </c:pt>
                <c:pt idx="91">
                  <c:v>1992.0</c:v>
                </c:pt>
                <c:pt idx="92">
                  <c:v>1993.0</c:v>
                </c:pt>
                <c:pt idx="93">
                  <c:v>1994.0</c:v>
                </c:pt>
                <c:pt idx="94">
                  <c:v>1995.0</c:v>
                </c:pt>
                <c:pt idx="95">
                  <c:v>1996.0</c:v>
                </c:pt>
                <c:pt idx="96">
                  <c:v>1997.0</c:v>
                </c:pt>
                <c:pt idx="97">
                  <c:v>1998.0</c:v>
                </c:pt>
                <c:pt idx="98">
                  <c:v>1999.0</c:v>
                </c:pt>
                <c:pt idx="99">
                  <c:v>2000.0</c:v>
                </c:pt>
                <c:pt idx="100">
                  <c:v>2001.0</c:v>
                </c:pt>
                <c:pt idx="101">
                  <c:v>2002.0</c:v>
                </c:pt>
                <c:pt idx="102">
                  <c:v>2003.0</c:v>
                </c:pt>
                <c:pt idx="103">
                  <c:v>2004.0</c:v>
                </c:pt>
                <c:pt idx="104">
                  <c:v>2005.0</c:v>
                </c:pt>
                <c:pt idx="105">
                  <c:v>2006.0</c:v>
                </c:pt>
                <c:pt idx="106">
                  <c:v>2007.0</c:v>
                </c:pt>
                <c:pt idx="107">
                  <c:v>2008.0</c:v>
                </c:pt>
                <c:pt idx="108">
                  <c:v>2009.0</c:v>
                </c:pt>
                <c:pt idx="109">
                  <c:v>2010.0</c:v>
                </c:pt>
                <c:pt idx="110">
                  <c:v>2011.0</c:v>
                </c:pt>
                <c:pt idx="111">
                  <c:v>2012.0</c:v>
                </c:pt>
                <c:pt idx="112">
                  <c:v>2013.0</c:v>
                </c:pt>
                <c:pt idx="113">
                  <c:v>2014.0</c:v>
                </c:pt>
                <c:pt idx="114">
                  <c:v>2015.0</c:v>
                </c:pt>
              </c:numCache>
            </c:numRef>
          </c:cat>
          <c:val>
            <c:numRef>
              <c:f>Historic!$B$7:$B$122</c:f>
              <c:numCache>
                <c:formatCode>General</c:formatCode>
                <c:ptCount val="116"/>
                <c:pt idx="52" formatCode="#,##0">
                  <c:v>22942.0</c:v>
                </c:pt>
                <c:pt idx="53" formatCode="#,##0">
                  <c:v>19148.0</c:v>
                </c:pt>
                <c:pt idx="54" formatCode="#,##0">
                  <c:v>22877.0</c:v>
                </c:pt>
                <c:pt idx="81" formatCode="#,##0">
                  <c:v>455.840866234269</c:v>
                </c:pt>
                <c:pt idx="82" formatCode="#,##0">
                  <c:v>2539.785510378508</c:v>
                </c:pt>
                <c:pt idx="83" formatCode="#,##0">
                  <c:v>11579.40694008355</c:v>
                </c:pt>
                <c:pt idx="84" formatCode="#,##0">
                  <c:v>10991.36136481864</c:v>
                </c:pt>
                <c:pt idx="85" formatCode="#,##0">
                  <c:v>9798.170377277856</c:v>
                </c:pt>
                <c:pt idx="86" formatCode="#,##0">
                  <c:v>14251.35837005788</c:v>
                </c:pt>
                <c:pt idx="87" formatCode="#,##0">
                  <c:v>3252.030669166872</c:v>
                </c:pt>
                <c:pt idx="88" formatCode="#,##0">
                  <c:v>31570.47473202844</c:v>
                </c:pt>
                <c:pt idx="89" formatCode="#,##0">
                  <c:v>73180.57166001424</c:v>
                </c:pt>
                <c:pt idx="90" formatCode="#,##0">
                  <c:v>45509.80918083026</c:v>
                </c:pt>
                <c:pt idx="91" formatCode="#,##0">
                  <c:v>10325.8165369998</c:v>
                </c:pt>
                <c:pt idx="92" formatCode="#,##0">
                  <c:v>25018.47288086998</c:v>
                </c:pt>
                <c:pt idx="93" formatCode="#,##0">
                  <c:v>39710.38298915492</c:v>
                </c:pt>
                <c:pt idx="94" formatCode="#,##0">
                  <c:v>34797.6183202359</c:v>
                </c:pt>
                <c:pt idx="95" formatCode="#,##0">
                  <c:v>19209.33476708387</c:v>
                </c:pt>
                <c:pt idx="96" formatCode="#,##0">
                  <c:v>28898.40606223901</c:v>
                </c:pt>
                <c:pt idx="98" formatCode="#,##0">
                  <c:v>57753.57110364801</c:v>
                </c:pt>
                <c:pt idx="99" formatCode="#,##0">
                  <c:v>3032.198293452349</c:v>
                </c:pt>
                <c:pt idx="100" formatCode="#,##0">
                  <c:v>3666.994517782815</c:v>
                </c:pt>
                <c:pt idx="101" formatCode="#,##0">
                  <c:v>23987.72021155481</c:v>
                </c:pt>
                <c:pt idx="102" formatCode="#,##0">
                  <c:v>69892.769729965</c:v>
                </c:pt>
                <c:pt idx="103" formatCode="#,##0">
                  <c:v>77262.73388842402</c:v>
                </c:pt>
                <c:pt idx="104" formatCode="#,##0">
                  <c:v>65653.38279703167</c:v>
                </c:pt>
                <c:pt idx="105" formatCode="#,##0">
                  <c:v>103952.8553193621</c:v>
                </c:pt>
                <c:pt idx="106" formatCode="#,##0">
                  <c:v>66938.38331128674</c:v>
                </c:pt>
                <c:pt idx="107" formatCode="#,##0">
                  <c:v>10063.98296037935</c:v>
                </c:pt>
                <c:pt idx="108" formatCode="#,##0">
                  <c:v>12568.76061614167</c:v>
                </c:pt>
                <c:pt idx="109" formatCode="#,##0">
                  <c:v>17156.2309459448</c:v>
                </c:pt>
                <c:pt idx="110" formatCode="#,##0">
                  <c:v>22719.73299576675</c:v>
                </c:pt>
                <c:pt idx="111" formatCode="#,##0">
                  <c:v>40943.87653346446</c:v>
                </c:pt>
                <c:pt idx="112" formatCode="#,##0">
                  <c:v>49124.28073770135</c:v>
                </c:pt>
                <c:pt idx="113" formatCode="#,##0">
                  <c:v>19936.12535706422</c:v>
                </c:pt>
                <c:pt idx="114" formatCode="#,##0">
                  <c:v>13982.74442954216</c:v>
                </c:pt>
              </c:numCache>
            </c:numRef>
          </c:val>
        </c:ser>
        <c:ser>
          <c:idx val="0"/>
          <c:order val="1"/>
          <c:tx>
            <c:v>Harvest</c:v>
          </c:tx>
          <c:spPr>
            <a:solidFill>
              <a:schemeClr val="tx1"/>
            </a:solidFill>
            <a:ln>
              <a:solidFill>
                <a:schemeClr val="tx1"/>
              </a:solidFill>
            </a:ln>
          </c:spPr>
          <c:invertIfNegative val="0"/>
          <c:cat>
            <c:numRef>
              <c:f>Historic!$A$7:$A$122</c:f>
              <c:numCache>
                <c:formatCode>General</c:formatCode>
                <c:ptCount val="116"/>
                <c:pt idx="0">
                  <c:v>1901.0</c:v>
                </c:pt>
                <c:pt idx="1">
                  <c:v>1902.0</c:v>
                </c:pt>
                <c:pt idx="2">
                  <c:v>1903.0</c:v>
                </c:pt>
                <c:pt idx="3">
                  <c:v>1904.0</c:v>
                </c:pt>
                <c:pt idx="4">
                  <c:v>1905.0</c:v>
                </c:pt>
                <c:pt idx="5">
                  <c:v>1906.0</c:v>
                </c:pt>
                <c:pt idx="6">
                  <c:v>1907.0</c:v>
                </c:pt>
                <c:pt idx="7">
                  <c:v>1908.0</c:v>
                </c:pt>
                <c:pt idx="8">
                  <c:v>1909.0</c:v>
                </c:pt>
                <c:pt idx="9">
                  <c:v>1910.0</c:v>
                </c:pt>
                <c:pt idx="10">
                  <c:v>1911.0</c:v>
                </c:pt>
                <c:pt idx="11">
                  <c:v>1912.0</c:v>
                </c:pt>
                <c:pt idx="12">
                  <c:v>1913.0</c:v>
                </c:pt>
                <c:pt idx="13">
                  <c:v>1914.0</c:v>
                </c:pt>
                <c:pt idx="14">
                  <c:v>1915.0</c:v>
                </c:pt>
                <c:pt idx="15">
                  <c:v>1916.0</c:v>
                </c:pt>
                <c:pt idx="16">
                  <c:v>1917.0</c:v>
                </c:pt>
                <c:pt idx="17">
                  <c:v>1918.0</c:v>
                </c:pt>
                <c:pt idx="18">
                  <c:v>1919.0</c:v>
                </c:pt>
                <c:pt idx="19">
                  <c:v>1920.0</c:v>
                </c:pt>
                <c:pt idx="20">
                  <c:v>1921.0</c:v>
                </c:pt>
                <c:pt idx="21">
                  <c:v>1922.0</c:v>
                </c:pt>
                <c:pt idx="22">
                  <c:v>1923.0</c:v>
                </c:pt>
                <c:pt idx="23">
                  <c:v>1924.0</c:v>
                </c:pt>
                <c:pt idx="24">
                  <c:v>1925.0</c:v>
                </c:pt>
                <c:pt idx="25">
                  <c:v>1926.0</c:v>
                </c:pt>
                <c:pt idx="26">
                  <c:v>1927.0</c:v>
                </c:pt>
                <c:pt idx="27">
                  <c:v>1928.0</c:v>
                </c:pt>
                <c:pt idx="28">
                  <c:v>1929.0</c:v>
                </c:pt>
                <c:pt idx="29">
                  <c:v>1930.0</c:v>
                </c:pt>
                <c:pt idx="30">
                  <c:v>1931.0</c:v>
                </c:pt>
                <c:pt idx="31">
                  <c:v>1932.0</c:v>
                </c:pt>
                <c:pt idx="32">
                  <c:v>1933.0</c:v>
                </c:pt>
                <c:pt idx="33">
                  <c:v>1934.0</c:v>
                </c:pt>
                <c:pt idx="34">
                  <c:v>1935.0</c:v>
                </c:pt>
                <c:pt idx="35">
                  <c:v>1936.0</c:v>
                </c:pt>
                <c:pt idx="36">
                  <c:v>1937.0</c:v>
                </c:pt>
                <c:pt idx="37">
                  <c:v>1938.0</c:v>
                </c:pt>
                <c:pt idx="38">
                  <c:v>1939.0</c:v>
                </c:pt>
                <c:pt idx="39">
                  <c:v>1940.0</c:v>
                </c:pt>
                <c:pt idx="40">
                  <c:v>1941.0</c:v>
                </c:pt>
                <c:pt idx="41">
                  <c:v>1942.0</c:v>
                </c:pt>
                <c:pt idx="42">
                  <c:v>1943.0</c:v>
                </c:pt>
                <c:pt idx="43">
                  <c:v>1944.0</c:v>
                </c:pt>
                <c:pt idx="44">
                  <c:v>1945.0</c:v>
                </c:pt>
                <c:pt idx="45">
                  <c:v>1946.0</c:v>
                </c:pt>
                <c:pt idx="46">
                  <c:v>1947.0</c:v>
                </c:pt>
                <c:pt idx="47">
                  <c:v>1948.0</c:v>
                </c:pt>
                <c:pt idx="48">
                  <c:v>1949.0</c:v>
                </c:pt>
                <c:pt idx="49">
                  <c:v>1950.0</c:v>
                </c:pt>
                <c:pt idx="50">
                  <c:v>1951.0</c:v>
                </c:pt>
                <c:pt idx="51">
                  <c:v>1952.0</c:v>
                </c:pt>
                <c:pt idx="52">
                  <c:v>1953.0</c:v>
                </c:pt>
                <c:pt idx="53">
                  <c:v>1954.0</c:v>
                </c:pt>
                <c:pt idx="54">
                  <c:v>1955.0</c:v>
                </c:pt>
                <c:pt idx="55">
                  <c:v>1956.0</c:v>
                </c:pt>
                <c:pt idx="56">
                  <c:v>1957.0</c:v>
                </c:pt>
                <c:pt idx="57">
                  <c:v>1958.0</c:v>
                </c:pt>
                <c:pt idx="58">
                  <c:v>1959.0</c:v>
                </c:pt>
                <c:pt idx="59">
                  <c:v>1960.0</c:v>
                </c:pt>
                <c:pt idx="60">
                  <c:v>1961.0</c:v>
                </c:pt>
                <c:pt idx="61">
                  <c:v>1962.0</c:v>
                </c:pt>
                <c:pt idx="62">
                  <c:v>1963.0</c:v>
                </c:pt>
                <c:pt idx="63">
                  <c:v>1964.0</c:v>
                </c:pt>
                <c:pt idx="64">
                  <c:v>1965.0</c:v>
                </c:pt>
                <c:pt idx="65">
                  <c:v>1966.0</c:v>
                </c:pt>
                <c:pt idx="66">
                  <c:v>1967.0</c:v>
                </c:pt>
                <c:pt idx="67">
                  <c:v>1968.0</c:v>
                </c:pt>
                <c:pt idx="68">
                  <c:v>1969.0</c:v>
                </c:pt>
                <c:pt idx="69">
                  <c:v>1970.0</c:v>
                </c:pt>
                <c:pt idx="70">
                  <c:v>1971.0</c:v>
                </c:pt>
                <c:pt idx="71">
                  <c:v>1972.0</c:v>
                </c:pt>
                <c:pt idx="72">
                  <c:v>1973.0</c:v>
                </c:pt>
                <c:pt idx="73">
                  <c:v>1974.0</c:v>
                </c:pt>
                <c:pt idx="74">
                  <c:v>1975.0</c:v>
                </c:pt>
                <c:pt idx="75">
                  <c:v>1976.0</c:v>
                </c:pt>
                <c:pt idx="76">
                  <c:v>1977.0</c:v>
                </c:pt>
                <c:pt idx="77">
                  <c:v>1978.0</c:v>
                </c:pt>
                <c:pt idx="78">
                  <c:v>1979.0</c:v>
                </c:pt>
                <c:pt idx="79">
                  <c:v>1980.0</c:v>
                </c:pt>
                <c:pt idx="80">
                  <c:v>1981.0</c:v>
                </c:pt>
                <c:pt idx="81">
                  <c:v>1982.0</c:v>
                </c:pt>
                <c:pt idx="82">
                  <c:v>1983.0</c:v>
                </c:pt>
                <c:pt idx="83">
                  <c:v>1984.0</c:v>
                </c:pt>
                <c:pt idx="84">
                  <c:v>1985.0</c:v>
                </c:pt>
                <c:pt idx="85">
                  <c:v>1986.0</c:v>
                </c:pt>
                <c:pt idx="86">
                  <c:v>1987.0</c:v>
                </c:pt>
                <c:pt idx="87">
                  <c:v>1988.0</c:v>
                </c:pt>
                <c:pt idx="88">
                  <c:v>1989.0</c:v>
                </c:pt>
                <c:pt idx="89">
                  <c:v>1990.0</c:v>
                </c:pt>
                <c:pt idx="90">
                  <c:v>1991.0</c:v>
                </c:pt>
                <c:pt idx="91">
                  <c:v>1992.0</c:v>
                </c:pt>
                <c:pt idx="92">
                  <c:v>1993.0</c:v>
                </c:pt>
                <c:pt idx="93">
                  <c:v>1994.0</c:v>
                </c:pt>
                <c:pt idx="94">
                  <c:v>1995.0</c:v>
                </c:pt>
                <c:pt idx="95">
                  <c:v>1996.0</c:v>
                </c:pt>
                <c:pt idx="96">
                  <c:v>1997.0</c:v>
                </c:pt>
                <c:pt idx="97">
                  <c:v>1998.0</c:v>
                </c:pt>
                <c:pt idx="98">
                  <c:v>1999.0</c:v>
                </c:pt>
                <c:pt idx="99">
                  <c:v>2000.0</c:v>
                </c:pt>
                <c:pt idx="100">
                  <c:v>2001.0</c:v>
                </c:pt>
                <c:pt idx="101">
                  <c:v>2002.0</c:v>
                </c:pt>
                <c:pt idx="102">
                  <c:v>2003.0</c:v>
                </c:pt>
                <c:pt idx="103">
                  <c:v>2004.0</c:v>
                </c:pt>
                <c:pt idx="104">
                  <c:v>2005.0</c:v>
                </c:pt>
                <c:pt idx="105">
                  <c:v>2006.0</c:v>
                </c:pt>
                <c:pt idx="106">
                  <c:v>2007.0</c:v>
                </c:pt>
                <c:pt idx="107">
                  <c:v>2008.0</c:v>
                </c:pt>
                <c:pt idx="108">
                  <c:v>2009.0</c:v>
                </c:pt>
                <c:pt idx="109">
                  <c:v>2010.0</c:v>
                </c:pt>
                <c:pt idx="110">
                  <c:v>2011.0</c:v>
                </c:pt>
                <c:pt idx="111">
                  <c:v>2012.0</c:v>
                </c:pt>
                <c:pt idx="112">
                  <c:v>2013.0</c:v>
                </c:pt>
                <c:pt idx="113">
                  <c:v>2014.0</c:v>
                </c:pt>
                <c:pt idx="114">
                  <c:v>2015.0</c:v>
                </c:pt>
              </c:numCache>
            </c:numRef>
          </c:cat>
          <c:val>
            <c:numRef>
              <c:f>Historic!$C$7:$C$122</c:f>
              <c:numCache>
                <c:formatCode>General</c:formatCode>
                <c:ptCount val="116"/>
                <c:pt idx="3" formatCode="#,##0">
                  <c:v>27000.0</c:v>
                </c:pt>
                <c:pt idx="10" formatCode="#,##0">
                  <c:v>11375.0</c:v>
                </c:pt>
                <c:pt idx="11" formatCode="#,##0">
                  <c:v>9965.0</c:v>
                </c:pt>
                <c:pt idx="12" formatCode="#,##0">
                  <c:v>13390.0</c:v>
                </c:pt>
                <c:pt idx="13" formatCode="#,##0">
                  <c:v>31000.0</c:v>
                </c:pt>
                <c:pt idx="14" formatCode="#,##0">
                  <c:v>28628.0</c:v>
                </c:pt>
                <c:pt idx="15" formatCode="#,##0">
                  <c:v>8151.0</c:v>
                </c:pt>
                <c:pt idx="16" formatCode="#,##0">
                  <c:v>1532.0</c:v>
                </c:pt>
                <c:pt idx="17" formatCode="#,##0">
                  <c:v>20253.0</c:v>
                </c:pt>
                <c:pt idx="18" formatCode="#,##0">
                  <c:v>12780.0</c:v>
                </c:pt>
                <c:pt idx="19" formatCode="#,##0">
                  <c:v>17658.0</c:v>
                </c:pt>
                <c:pt idx="20" formatCode="#,##0">
                  <c:v>6000.0</c:v>
                </c:pt>
                <c:pt idx="21" formatCode="#,##0">
                  <c:v>1148.0</c:v>
                </c:pt>
                <c:pt idx="22" formatCode="#,##0">
                  <c:v>12141.0</c:v>
                </c:pt>
                <c:pt idx="23" formatCode="#,##0">
                  <c:v>3434.0</c:v>
                </c:pt>
                <c:pt idx="24" formatCode="#,##0">
                  <c:v>2358.0</c:v>
                </c:pt>
                <c:pt idx="81">
                  <c:v>99.0</c:v>
                </c:pt>
                <c:pt idx="82">
                  <c:v>36.0</c:v>
                </c:pt>
                <c:pt idx="83">
                  <c:v>217.0</c:v>
                </c:pt>
                <c:pt idx="84">
                  <c:v>109.0</c:v>
                </c:pt>
                <c:pt idx="85">
                  <c:v>109.0</c:v>
                </c:pt>
                <c:pt idx="86">
                  <c:v>199.0</c:v>
                </c:pt>
                <c:pt idx="87">
                  <c:v>425.0</c:v>
                </c:pt>
                <c:pt idx="88">
                  <c:v>3220.0</c:v>
                </c:pt>
                <c:pt idx="89">
                  <c:v>6029.0</c:v>
                </c:pt>
                <c:pt idx="90">
                  <c:v>3337.0</c:v>
                </c:pt>
                <c:pt idx="91">
                  <c:v>96.0</c:v>
                </c:pt>
                <c:pt idx="92">
                  <c:v>2456.0</c:v>
                </c:pt>
                <c:pt idx="93">
                  <c:v>4841.0</c:v>
                </c:pt>
                <c:pt idx="94">
                  <c:v>3614.0</c:v>
                </c:pt>
                <c:pt idx="95">
                  <c:v>4415.0</c:v>
                </c:pt>
                <c:pt idx="96">
                  <c:v>3822.0</c:v>
                </c:pt>
                <c:pt idx="97">
                  <c:v>6030.0</c:v>
                </c:pt>
                <c:pt idx="98">
                  <c:v>9953.0</c:v>
                </c:pt>
                <c:pt idx="99">
                  <c:v>95.0</c:v>
                </c:pt>
                <c:pt idx="100">
                  <c:v>50.0</c:v>
                </c:pt>
                <c:pt idx="101">
                  <c:v>1416.0</c:v>
                </c:pt>
                <c:pt idx="102">
                  <c:v>10985.0</c:v>
                </c:pt>
                <c:pt idx="103">
                  <c:v>11902.0</c:v>
                </c:pt>
                <c:pt idx="104">
                  <c:v>5299.0</c:v>
                </c:pt>
                <c:pt idx="105">
                  <c:v>21583.0</c:v>
                </c:pt>
                <c:pt idx="106">
                  <c:v>14584.0</c:v>
                </c:pt>
                <c:pt idx="107">
                  <c:v>679.0</c:v>
                </c:pt>
                <c:pt idx="108">
                  <c:v>1149.0</c:v>
                </c:pt>
                <c:pt idx="109">
                  <c:v>1656.0</c:v>
                </c:pt>
                <c:pt idx="110">
                  <c:v>1402.0</c:v>
                </c:pt>
                <c:pt idx="111">
                  <c:v>4977.0</c:v>
                </c:pt>
                <c:pt idx="112">
                  <c:v>7656.0</c:v>
                </c:pt>
                <c:pt idx="113">
                  <c:v>1892.0</c:v>
                </c:pt>
                <c:pt idx="114">
                  <c:v>476.0</c:v>
                </c:pt>
              </c:numCache>
            </c:numRef>
          </c:val>
        </c:ser>
        <c:dLbls>
          <c:showLegendKey val="0"/>
          <c:showVal val="0"/>
          <c:showCatName val="0"/>
          <c:showSerName val="0"/>
          <c:showPercent val="0"/>
          <c:showBubbleSize val="0"/>
        </c:dLbls>
        <c:gapWidth val="0"/>
        <c:overlap val="100"/>
        <c:axId val="1872407768"/>
        <c:axId val="1872414616"/>
      </c:barChart>
      <c:dateAx>
        <c:axId val="1872407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a:pPr>
            <a:endParaRPr lang="en-US"/>
          </a:p>
        </c:txPr>
        <c:crossAx val="1872414616"/>
        <c:crosses val="autoZero"/>
        <c:auto val="0"/>
        <c:lblOffset val="100"/>
        <c:baseTimeUnit val="days"/>
        <c:majorUnit val="10.0"/>
        <c:majorTimeUnit val="days"/>
      </c:dateAx>
      <c:valAx>
        <c:axId val="1872414616"/>
        <c:scaling>
          <c:orientation val="minMax"/>
        </c:scaling>
        <c:delete val="0"/>
        <c:axPos val="l"/>
        <c:title>
          <c:tx>
            <c:rich>
              <a:bodyPr/>
              <a:lstStyle/>
              <a:p>
                <a:pPr>
                  <a:defRPr b="1"/>
                </a:pPr>
                <a:r>
                  <a:rPr lang="en-US" b="1"/>
                  <a:t> (thousands)</a:t>
                </a:r>
              </a:p>
            </c:rich>
          </c:tx>
          <c:layout>
            <c:manualLayout>
              <c:xMode val="edge"/>
              <c:yMode val="edge"/>
              <c:x val="0.00744587695768798"/>
              <c:y val="0.38681914382487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1872407768"/>
        <c:crosses val="autoZero"/>
        <c:crossBetween val="between"/>
        <c:dispUnits>
          <c:builtInUnit val="thousands"/>
        </c:dispUnits>
      </c:valAx>
      <c:spPr>
        <a:noFill/>
        <a:ln w="12700">
          <a:solidFill>
            <a:srgbClr val="808080"/>
          </a:solidFill>
          <a:prstDash val="solid"/>
        </a:ln>
      </c:spPr>
    </c:plotArea>
    <c:legend>
      <c:legendPos val="r"/>
      <c:layout>
        <c:manualLayout>
          <c:xMode val="edge"/>
          <c:yMode val="edge"/>
          <c:x val="0.22765700441291"/>
          <c:y val="0.250057615717854"/>
          <c:w val="0.228753251997347"/>
          <c:h val="0.140832668231146"/>
        </c:manualLayout>
      </c:layout>
      <c:overlay val="1"/>
    </c:legend>
    <c:plotVisOnly val="1"/>
    <c:dispBlanksAs val="gap"/>
    <c:showDLblsOverMax val="0"/>
  </c:chart>
  <c:spPr>
    <a:noFill/>
    <a:ln w="6350">
      <a:solidFill>
        <a:schemeClr val="tx1"/>
      </a:solidFill>
    </a:ln>
  </c:spPr>
  <c:txPr>
    <a:bodyPr/>
    <a:lstStyle/>
    <a:p>
      <a:pPr>
        <a:defRPr sz="2000" b="0" i="0" u="none" strike="noStrike" baseline="0">
          <a:solidFill>
            <a:srgbClr val="000000"/>
          </a:solidFill>
          <a:latin typeface="+mn-lt"/>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sheetPr codeName="Chart2"/>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3"/>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23</xdr:col>
      <xdr:colOff>38100</xdr:colOff>
      <xdr:row>5</xdr:row>
      <xdr:rowOff>123825</xdr:rowOff>
    </xdr:from>
    <xdr:to>
      <xdr:col>31</xdr:col>
      <xdr:colOff>219075</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355600</xdr:colOff>
      <xdr:row>42</xdr:row>
      <xdr:rowOff>25400</xdr:rowOff>
    </xdr:from>
    <xdr:to>
      <xdr:col>18</xdr:col>
      <xdr:colOff>355600</xdr:colOff>
      <xdr:row>52</xdr:row>
      <xdr:rowOff>139700</xdr:rowOff>
    </xdr:to>
    <xdr:sp macro="" textlink="">
      <xdr:nvSpPr>
        <xdr:cNvPr id="3" name="TextBox 2"/>
        <xdr:cNvSpPr txBox="1"/>
      </xdr:nvSpPr>
      <xdr:spPr>
        <a:xfrm>
          <a:off x="7315200" y="7556500"/>
          <a:ext cx="6070600" cy="189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Greg Ruggerone split age 5 returns into age 1.3 and age 2.2</a:t>
          </a:r>
          <a:r>
            <a:rPr lang="en-US" sz="1100" baseline="0"/>
            <a:t> returns using escapement age worksheet.  He alos identified the dominate age class associated with each total age, which were dominated by the selected age class, as shown on the escapement age worksheet.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95250</xdr:colOff>
      <xdr:row>5</xdr:row>
      <xdr:rowOff>66675</xdr:rowOff>
    </xdr:from>
    <xdr:to>
      <xdr:col>31</xdr:col>
      <xdr:colOff>276225</xdr:colOff>
      <xdr:row>19</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171449</xdr:colOff>
      <xdr:row>20</xdr:row>
      <xdr:rowOff>152400</xdr:rowOff>
    </xdr:from>
    <xdr:to>
      <xdr:col>5</xdr:col>
      <xdr:colOff>762000</xdr:colOff>
      <xdr:row>33</xdr:row>
      <xdr:rowOff>19050</xdr:rowOff>
    </xdr:to>
    <xdr:sp macro="" textlink="">
      <xdr:nvSpPr>
        <xdr:cNvPr id="2" name="TextBox 1"/>
        <xdr:cNvSpPr txBox="1"/>
      </xdr:nvSpPr>
      <xdr:spPr>
        <a:xfrm>
          <a:off x="171449" y="3952875"/>
          <a:ext cx="5124451" cy="1971675"/>
        </a:xfrm>
        <a:prstGeom prst="rect">
          <a:avLst/>
        </a:prstGeom>
        <a:solidFill>
          <a:srgbClr val="99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n-lt"/>
              <a:ea typeface="+mn-ea"/>
              <a:cs typeface="+mn-cs"/>
            </a:rPr>
            <a:t>From:</a:t>
          </a:r>
          <a:r>
            <a:rPr lang="en-US" sz="1100">
              <a:solidFill>
                <a:schemeClr val="dk1"/>
              </a:solidFill>
              <a:latin typeface="+mn-lt"/>
              <a:ea typeface="+mn-ea"/>
              <a:cs typeface="+mn-cs"/>
            </a:rPr>
            <a:t> Coonradt, Eric E (DFG) </a:t>
          </a:r>
          <a:br>
            <a:rPr lang="en-US" sz="1100">
              <a:solidFill>
                <a:schemeClr val="dk1"/>
              </a:solidFill>
              <a:latin typeface="+mn-lt"/>
              <a:ea typeface="+mn-ea"/>
              <a:cs typeface="+mn-cs"/>
            </a:rPr>
          </a:br>
          <a:r>
            <a:rPr lang="en-US" sz="1100" b="1">
              <a:solidFill>
                <a:schemeClr val="dk1"/>
              </a:solidFill>
              <a:latin typeface="+mn-lt"/>
              <a:ea typeface="+mn-ea"/>
              <a:cs typeface="+mn-cs"/>
            </a:rPr>
            <a:t>Sent:</a:t>
          </a:r>
          <a:r>
            <a:rPr lang="en-US" sz="1100">
              <a:solidFill>
                <a:schemeClr val="dk1"/>
              </a:solidFill>
              <a:latin typeface="+mn-lt"/>
              <a:ea typeface="+mn-ea"/>
              <a:cs typeface="+mn-cs"/>
            </a:rPr>
            <a:t> Thursday, May 30, 2013 9:00 AM</a:t>
          </a:r>
          <a:br>
            <a:rPr lang="en-US" sz="1100">
              <a:solidFill>
                <a:schemeClr val="dk1"/>
              </a:solidFill>
              <a:latin typeface="+mn-lt"/>
              <a:ea typeface="+mn-ea"/>
              <a:cs typeface="+mn-cs"/>
            </a:rPr>
          </a:br>
          <a:r>
            <a:rPr lang="en-US" sz="1100" b="1">
              <a:solidFill>
                <a:schemeClr val="dk1"/>
              </a:solidFill>
              <a:latin typeface="+mn-lt"/>
              <a:ea typeface="+mn-ea"/>
              <a:cs typeface="+mn-cs"/>
            </a:rPr>
            <a:t>To:</a:t>
          </a:r>
          <a:r>
            <a:rPr lang="en-US" sz="1100">
              <a:solidFill>
                <a:schemeClr val="dk1"/>
              </a:solidFill>
              <a:latin typeface="+mn-lt"/>
              <a:ea typeface="+mn-ea"/>
              <a:cs typeface="+mn-cs"/>
            </a:rPr>
            <a:t> Heinl, Steve (DFG)</a:t>
          </a:r>
          <a:br>
            <a:rPr lang="en-US" sz="1100">
              <a:solidFill>
                <a:schemeClr val="dk1"/>
              </a:solidFill>
              <a:latin typeface="+mn-lt"/>
              <a:ea typeface="+mn-ea"/>
              <a:cs typeface="+mn-cs"/>
            </a:rPr>
          </a:br>
          <a:r>
            <a:rPr lang="en-US" sz="1100" b="1">
              <a:solidFill>
                <a:schemeClr val="dk1"/>
              </a:solidFill>
              <a:latin typeface="+mn-lt"/>
              <a:ea typeface="+mn-ea"/>
              <a:cs typeface="+mn-cs"/>
            </a:rPr>
            <a:t>Subject:</a:t>
          </a:r>
          <a:r>
            <a:rPr lang="en-US" sz="1100">
              <a:solidFill>
                <a:schemeClr val="dk1"/>
              </a:solidFill>
              <a:latin typeface="+mn-lt"/>
              <a:ea typeface="+mn-ea"/>
              <a:cs typeface="+mn-cs"/>
            </a:rPr>
            <a:t> RE: Redoubt commercial harvest</a:t>
          </a:r>
        </a:p>
        <a:p>
          <a:r>
            <a:rPr lang="en-US" sz="1100">
              <a:solidFill>
                <a:schemeClr val="dk1"/>
              </a:solidFill>
              <a:latin typeface="+mn-lt"/>
              <a:ea typeface="+mn-ea"/>
              <a:cs typeface="+mn-cs"/>
            </a:rPr>
            <a:t> </a:t>
          </a:r>
        </a:p>
        <a:p>
          <a:r>
            <a:rPr lang="en-US" sz="1100">
              <a:solidFill>
                <a:schemeClr val="dk1"/>
              </a:solidFill>
              <a:latin typeface="+mn-lt"/>
              <a:ea typeface="+mn-ea"/>
              <a:cs typeface="+mn-cs"/>
            </a:rPr>
            <a:t>We use the incidental harvest from Stat Areas 113-38 and 41. There is only one other sockeye system close by and it’s a very small system, so the assumption is that most of those sockeye were bound for Redoubt. -Eric</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absoluteAnchor>
    <xdr:pos x="0" y="0"/>
    <xdr:ext cx="8572500" cy="58293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0.13066</cdr:x>
      <cdr:y>0.04537</cdr:y>
    </cdr:from>
    <cdr:to>
      <cdr:x>0.69613</cdr:x>
      <cdr:y>0.1815</cdr:y>
    </cdr:to>
    <cdr:sp macro="" textlink="">
      <cdr:nvSpPr>
        <cdr:cNvPr id="2" name="TextBox 1"/>
        <cdr:cNvSpPr txBox="1"/>
      </cdr:nvSpPr>
      <cdr:spPr>
        <a:xfrm xmlns:a="http://schemas.openxmlformats.org/drawingml/2006/main">
          <a:off x="1133487" y="285734"/>
          <a:ext cx="4905363" cy="8572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spcAft>
              <a:spcPts val="600"/>
            </a:spcAft>
          </a:pPr>
          <a:r>
            <a:rPr lang="en-US" sz="1800"/>
            <a:t>Redoubt Lake sockeye</a:t>
          </a:r>
          <a:r>
            <a:rPr lang="en-US" sz="1800" baseline="0"/>
            <a:t> salmon escapement</a:t>
          </a:r>
        </a:p>
        <a:p xmlns:a="http://schemas.openxmlformats.org/drawingml/2006/main">
          <a:pPr>
            <a:spcAft>
              <a:spcPts val="600"/>
            </a:spcAft>
          </a:pPr>
          <a:r>
            <a:rPr lang="en-US" sz="1800" baseline="0"/>
            <a:t>Current escapement goal: OEG = 7,500 to 25,000</a:t>
          </a:r>
          <a:endParaRPr lang="en-US" sz="1800"/>
        </a:p>
      </cdr:txBody>
    </cdr:sp>
  </cdr:relSizeAnchor>
</c:userShapes>
</file>

<file path=xl/drawings/drawing6.xml><?xml version="1.0" encoding="utf-8"?>
<xdr:wsDr xmlns:xdr="http://schemas.openxmlformats.org/drawingml/2006/spreadsheetDrawing" xmlns:a="http://schemas.openxmlformats.org/drawingml/2006/main">
  <xdr:absoluteAnchor>
    <xdr:pos x="0" y="0"/>
    <xdr:ext cx="8572500" cy="58293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572500" cy="58293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AC55"/>
  <sheetViews>
    <sheetView workbookViewId="0">
      <pane xSplit="1" ySplit="5" topLeftCell="B6" activePane="bottomRight" state="frozen"/>
      <selection pane="topRight" activeCell="B1" sqref="B1"/>
      <selection pane="bottomLeft" activeCell="A6" sqref="A6"/>
      <selection pane="bottomRight" activeCell="C45" sqref="C45"/>
    </sheetView>
  </sheetViews>
  <sheetFormatPr baseColWidth="10" defaultColWidth="8.83203125" defaultRowHeight="14" x14ac:dyDescent="0"/>
  <cols>
    <col min="1" max="1" width="8.83203125" style="5"/>
    <col min="2" max="2" width="8.83203125" style="3"/>
    <col min="3" max="4" width="10.33203125" style="3" bestFit="1" customWidth="1"/>
    <col min="5" max="5" width="8.83203125" style="3"/>
    <col min="6" max="6" width="15.83203125" style="3" customWidth="1"/>
    <col min="7" max="8" width="8.83203125" style="3"/>
    <col min="9" max="11" width="8.83203125" style="1"/>
    <col min="12" max="15" width="8.83203125" style="3"/>
    <col min="16" max="16" width="8.83203125" style="5"/>
    <col min="17" max="17" width="11.1640625" style="3" customWidth="1"/>
    <col min="18" max="19" width="8.83203125" style="3"/>
    <col min="20" max="20" width="4" style="1" customWidth="1"/>
    <col min="21" max="21" width="8.83203125" style="5"/>
    <col min="22" max="23" width="8.83203125" style="1"/>
    <col min="24" max="24" width="4.1640625" style="1" customWidth="1"/>
    <col min="25" max="16384" width="8.83203125" style="1"/>
  </cols>
  <sheetData>
    <row r="1" spans="1:29" ht="18">
      <c r="A1" s="127" t="s">
        <v>59</v>
      </c>
    </row>
    <row r="2" spans="1:29">
      <c r="P2" s="12"/>
    </row>
    <row r="3" spans="1:29">
      <c r="A3" s="15"/>
      <c r="B3" s="16" t="s">
        <v>5</v>
      </c>
      <c r="C3" s="16" t="s">
        <v>5</v>
      </c>
      <c r="D3" s="16"/>
      <c r="E3" s="16"/>
      <c r="F3" s="101"/>
      <c r="G3" s="16" t="s">
        <v>13</v>
      </c>
      <c r="H3" s="16" t="s">
        <v>13</v>
      </c>
      <c r="I3" s="56"/>
      <c r="J3" s="56"/>
      <c r="K3" s="56"/>
      <c r="L3" s="16"/>
      <c r="M3" s="16"/>
      <c r="N3" s="16"/>
      <c r="O3" s="16"/>
      <c r="P3" s="15" t="s">
        <v>24</v>
      </c>
      <c r="Q3" s="16"/>
      <c r="R3" s="16"/>
      <c r="S3" s="16"/>
    </row>
    <row r="4" spans="1:29">
      <c r="A4" s="13"/>
      <c r="B4" s="88" t="s">
        <v>6</v>
      </c>
      <c r="C4" s="88" t="s">
        <v>1</v>
      </c>
      <c r="D4" s="88" t="s">
        <v>9</v>
      </c>
      <c r="E4" s="88" t="s">
        <v>11</v>
      </c>
      <c r="F4" s="102" t="s">
        <v>71</v>
      </c>
      <c r="G4" s="88" t="s">
        <v>10</v>
      </c>
      <c r="H4" s="88" t="s">
        <v>5</v>
      </c>
      <c r="I4" s="13" t="s">
        <v>10</v>
      </c>
      <c r="J4" s="130" t="s">
        <v>4</v>
      </c>
      <c r="K4" s="130"/>
      <c r="L4" s="129" t="s">
        <v>20</v>
      </c>
      <c r="M4" s="129"/>
      <c r="N4" s="129" t="s">
        <v>21</v>
      </c>
      <c r="O4" s="129"/>
      <c r="P4" s="13" t="s">
        <v>25</v>
      </c>
      <c r="Q4" s="129" t="s">
        <v>22</v>
      </c>
      <c r="R4" s="129"/>
      <c r="S4" s="129"/>
      <c r="U4" s="111" t="s">
        <v>178</v>
      </c>
      <c r="Y4" s="128" t="s">
        <v>183</v>
      </c>
    </row>
    <row r="5" spans="1:29">
      <c r="A5" s="89" t="s">
        <v>0</v>
      </c>
      <c r="B5" s="14" t="s">
        <v>7</v>
      </c>
      <c r="C5" s="14" t="s">
        <v>8</v>
      </c>
      <c r="D5" s="14" t="s">
        <v>10</v>
      </c>
      <c r="E5" s="14" t="s">
        <v>10</v>
      </c>
      <c r="F5" s="103" t="s">
        <v>163</v>
      </c>
      <c r="G5" s="14" t="s">
        <v>8</v>
      </c>
      <c r="H5" s="14" t="s">
        <v>32</v>
      </c>
      <c r="I5" s="89" t="s">
        <v>56</v>
      </c>
      <c r="J5" s="57" t="s">
        <v>2</v>
      </c>
      <c r="K5" s="57" t="s">
        <v>3</v>
      </c>
      <c r="L5" s="14" t="s">
        <v>15</v>
      </c>
      <c r="M5" s="14" t="s">
        <v>16</v>
      </c>
      <c r="N5" s="14" t="s">
        <v>17</v>
      </c>
      <c r="O5" s="14" t="s">
        <v>18</v>
      </c>
      <c r="P5" s="89" t="s">
        <v>12</v>
      </c>
      <c r="Q5" s="14" t="s">
        <v>19</v>
      </c>
      <c r="R5" s="14" t="s">
        <v>15</v>
      </c>
      <c r="S5" s="14" t="s">
        <v>16</v>
      </c>
      <c r="U5" s="5" t="s">
        <v>0</v>
      </c>
      <c r="V5" s="5" t="s">
        <v>179</v>
      </c>
      <c r="Y5" s="5" t="s">
        <v>0</v>
      </c>
      <c r="Z5" s="1" t="s">
        <v>1</v>
      </c>
      <c r="AA5" s="1" t="s">
        <v>14</v>
      </c>
    </row>
    <row r="6" spans="1:29">
      <c r="A6" s="5">
        <v>1953</v>
      </c>
      <c r="B6" s="10">
        <v>22942</v>
      </c>
      <c r="C6" s="10">
        <v>22950.501812255519</v>
      </c>
      <c r="D6" s="10"/>
      <c r="E6" s="10"/>
      <c r="F6" s="87"/>
      <c r="G6" s="10"/>
      <c r="H6" s="10"/>
      <c r="I6" s="11"/>
      <c r="J6" s="2"/>
      <c r="K6" s="2"/>
      <c r="L6" s="10"/>
      <c r="M6" s="10"/>
      <c r="N6" s="10"/>
      <c r="O6" s="10"/>
      <c r="P6" s="5" t="s">
        <v>26</v>
      </c>
      <c r="Q6" s="10"/>
      <c r="R6" s="10"/>
      <c r="S6" s="10"/>
      <c r="T6" s="10"/>
      <c r="U6" s="5">
        <v>1904</v>
      </c>
      <c r="V6" s="4">
        <v>27000</v>
      </c>
      <c r="Y6" s="5">
        <v>1982</v>
      </c>
      <c r="Z6" s="4">
        <v>456</v>
      </c>
      <c r="AA6" s="4">
        <v>6870</v>
      </c>
      <c r="AB6" s="1">
        <f>Z6/1000</f>
        <v>0.45600000000000002</v>
      </c>
      <c r="AC6" s="1">
        <f>AA6/1000</f>
        <v>6.87</v>
      </c>
    </row>
    <row r="7" spans="1:29">
      <c r="A7" s="5">
        <v>1954</v>
      </c>
      <c r="B7" s="10">
        <v>19148</v>
      </c>
      <c r="C7" s="10">
        <v>19383.964046157831</v>
      </c>
      <c r="D7" s="10"/>
      <c r="E7" s="10"/>
      <c r="F7" s="87"/>
      <c r="G7" s="10"/>
      <c r="H7" s="10"/>
      <c r="I7" s="11"/>
      <c r="J7" s="2"/>
      <c r="K7" s="2"/>
      <c r="L7" s="10"/>
      <c r="M7" s="10"/>
      <c r="N7" s="10"/>
      <c r="O7" s="10"/>
      <c r="P7" s="5" t="s">
        <v>26</v>
      </c>
      <c r="Q7" s="10"/>
      <c r="R7" s="10"/>
      <c r="S7" s="10"/>
      <c r="T7" s="10"/>
      <c r="V7" s="4"/>
      <c r="Y7" s="5">
        <v>1983</v>
      </c>
      <c r="Z7" s="4">
        <v>2540</v>
      </c>
      <c r="AA7" s="4">
        <v>12928</v>
      </c>
      <c r="AB7" s="1">
        <f t="shared" ref="AB7:AB20" si="0">Z7/1000</f>
        <v>2.54</v>
      </c>
      <c r="AC7" s="1">
        <f t="shared" ref="AC7:AC20" si="1">AA7/1000</f>
        <v>12.928000000000001</v>
      </c>
    </row>
    <row r="8" spans="1:29">
      <c r="A8" s="5">
        <v>1955</v>
      </c>
      <c r="B8" s="10">
        <v>22877</v>
      </c>
      <c r="C8" s="10">
        <v>23141.172912795402</v>
      </c>
      <c r="D8" s="10"/>
      <c r="E8" s="10"/>
      <c r="F8" s="87"/>
      <c r="G8" s="10"/>
      <c r="H8" s="10"/>
      <c r="I8" s="11"/>
      <c r="J8" s="2"/>
      <c r="K8" s="2"/>
      <c r="L8" s="10"/>
      <c r="M8" s="10"/>
      <c r="N8" s="10"/>
      <c r="O8" s="10"/>
      <c r="P8" s="5" t="s">
        <v>26</v>
      </c>
      <c r="Q8" s="10"/>
      <c r="R8" s="10"/>
      <c r="S8" s="10"/>
      <c r="T8" s="10"/>
      <c r="U8" s="5">
        <v>1911</v>
      </c>
      <c r="V8" s="4">
        <v>11375</v>
      </c>
      <c r="Y8" s="5">
        <v>1984</v>
      </c>
      <c r="Z8" s="4">
        <v>11579</v>
      </c>
      <c r="AA8" s="4">
        <v>50507</v>
      </c>
      <c r="AB8" s="1">
        <f t="shared" si="0"/>
        <v>11.579000000000001</v>
      </c>
      <c r="AC8" s="1">
        <f t="shared" si="1"/>
        <v>50.506999999999998</v>
      </c>
    </row>
    <row r="9" spans="1:29">
      <c r="A9" s="17" t="s">
        <v>23</v>
      </c>
      <c r="B9" s="10"/>
      <c r="C9" s="10"/>
      <c r="D9" s="10"/>
      <c r="E9" s="10"/>
      <c r="F9" s="87"/>
      <c r="G9" s="10"/>
      <c r="H9" s="10"/>
      <c r="I9" s="11"/>
      <c r="J9" s="2"/>
      <c r="K9" s="2"/>
      <c r="L9" s="10"/>
      <c r="M9" s="10"/>
      <c r="N9" s="10"/>
      <c r="O9" s="10"/>
      <c r="Q9" s="10"/>
      <c r="R9" s="10"/>
      <c r="S9" s="10"/>
      <c r="T9" s="10"/>
      <c r="U9" s="5">
        <v>1912</v>
      </c>
      <c r="V9" s="4">
        <v>9965</v>
      </c>
      <c r="Y9" s="5">
        <v>1985</v>
      </c>
      <c r="Z9" s="4">
        <v>10991</v>
      </c>
      <c r="AA9" s="4">
        <v>96544</v>
      </c>
      <c r="AB9" s="1">
        <f t="shared" si="0"/>
        <v>10.991</v>
      </c>
      <c r="AC9" s="1">
        <f t="shared" si="1"/>
        <v>96.543999999999997</v>
      </c>
    </row>
    <row r="10" spans="1:29">
      <c r="A10" s="5">
        <v>1980</v>
      </c>
      <c r="B10" s="10"/>
      <c r="C10" s="10"/>
      <c r="D10" s="10"/>
      <c r="E10" s="10"/>
      <c r="F10" s="87"/>
      <c r="G10" s="10"/>
      <c r="H10" s="10"/>
      <c r="I10" s="11"/>
      <c r="J10" s="2"/>
      <c r="K10" s="2"/>
      <c r="L10" s="10"/>
      <c r="M10" s="10"/>
      <c r="N10" s="10"/>
      <c r="O10" s="10"/>
      <c r="P10" s="5" t="s">
        <v>27</v>
      </c>
      <c r="Q10" s="10"/>
      <c r="R10" s="10"/>
      <c r="S10" s="10"/>
      <c r="T10" s="10"/>
      <c r="U10" s="5">
        <v>1913</v>
      </c>
      <c r="V10" s="4">
        <v>13390</v>
      </c>
      <c r="Y10" s="5">
        <v>1986</v>
      </c>
      <c r="Z10" s="4">
        <v>9798</v>
      </c>
      <c r="AA10" s="4">
        <v>10935</v>
      </c>
      <c r="AB10" s="1">
        <f t="shared" si="0"/>
        <v>9.798</v>
      </c>
      <c r="AC10" s="1">
        <f t="shared" si="1"/>
        <v>10.935</v>
      </c>
    </row>
    <row r="11" spans="1:29">
      <c r="A11" s="5">
        <v>1981</v>
      </c>
      <c r="B11" s="10"/>
      <c r="C11" s="10"/>
      <c r="D11" s="10"/>
      <c r="E11" s="10"/>
      <c r="F11" s="87"/>
      <c r="G11" s="10"/>
      <c r="H11" s="10"/>
      <c r="I11" s="11"/>
      <c r="J11" s="2"/>
      <c r="K11" s="2"/>
      <c r="L11" s="10"/>
      <c r="M11" s="10"/>
      <c r="N11" s="10"/>
      <c r="O11" s="10"/>
      <c r="P11" s="5" t="s">
        <v>27</v>
      </c>
      <c r="Q11" s="10"/>
      <c r="R11" s="10"/>
      <c r="S11" s="10"/>
      <c r="T11" s="10"/>
      <c r="U11" s="5">
        <v>1914</v>
      </c>
      <c r="V11" s="4">
        <v>31000</v>
      </c>
      <c r="Y11" s="5">
        <v>1987</v>
      </c>
      <c r="Z11" s="4">
        <v>14251</v>
      </c>
      <c r="AA11" s="4">
        <v>14167</v>
      </c>
      <c r="AB11" s="1">
        <f t="shared" si="0"/>
        <v>14.250999999999999</v>
      </c>
      <c r="AC11" s="1">
        <f t="shared" si="1"/>
        <v>14.167</v>
      </c>
    </row>
    <row r="12" spans="1:29">
      <c r="A12" s="5">
        <v>1982</v>
      </c>
      <c r="B12" s="6">
        <v>430</v>
      </c>
      <c r="C12" s="10">
        <v>455.8408662342689</v>
      </c>
      <c r="D12" s="10">
        <v>99</v>
      </c>
      <c r="E12" s="10">
        <v>0</v>
      </c>
      <c r="F12" s="87" t="s">
        <v>100</v>
      </c>
      <c r="G12" s="10">
        <f>SUM(D12:F12)</f>
        <v>99</v>
      </c>
      <c r="H12" s="10">
        <f>SUM(C12,G12)</f>
        <v>554.8408662342689</v>
      </c>
      <c r="I12" s="90">
        <f t="shared" ref="I12:I46" si="2">G12/H12</f>
        <v>0.17842953903507083</v>
      </c>
      <c r="J12" s="2"/>
      <c r="K12" s="2"/>
      <c r="L12" s="10"/>
      <c r="M12" s="10"/>
      <c r="N12" s="10"/>
      <c r="O12" s="10"/>
      <c r="P12" s="5" t="s">
        <v>27</v>
      </c>
      <c r="Q12" s="10"/>
      <c r="R12" s="10"/>
      <c r="S12" s="10"/>
      <c r="T12" s="6"/>
      <c r="U12" s="5">
        <v>1915</v>
      </c>
      <c r="V12" s="4">
        <v>28628</v>
      </c>
      <c r="Y12" s="5">
        <v>1988</v>
      </c>
      <c r="Z12" s="4">
        <v>3252</v>
      </c>
      <c r="AA12" s="4">
        <v>31862</v>
      </c>
      <c r="AB12" s="1">
        <f t="shared" si="0"/>
        <v>3.2519999999999998</v>
      </c>
      <c r="AC12" s="1">
        <f t="shared" si="1"/>
        <v>31.861999999999998</v>
      </c>
    </row>
    <row r="13" spans="1:29">
      <c r="A13" s="5">
        <v>1983</v>
      </c>
      <c r="B13" s="7">
        <v>2525</v>
      </c>
      <c r="C13" s="10">
        <v>2539.7855103785087</v>
      </c>
      <c r="D13" s="10">
        <v>36</v>
      </c>
      <c r="E13" s="10">
        <v>0</v>
      </c>
      <c r="F13" s="87" t="s">
        <v>100</v>
      </c>
      <c r="G13" s="10">
        <f t="shared" ref="G13:G46" si="3">SUM(D13:F13)</f>
        <v>36</v>
      </c>
      <c r="H13" s="10">
        <f t="shared" ref="H13:H46" si="4">SUM(C13,G13)</f>
        <v>2575.7855103785087</v>
      </c>
      <c r="I13" s="90">
        <f t="shared" si="2"/>
        <v>1.3976319012179645E-2</v>
      </c>
      <c r="J13" s="2"/>
      <c r="K13" s="2"/>
      <c r="L13" s="10"/>
      <c r="M13" s="10"/>
      <c r="N13" s="10"/>
      <c r="O13" s="10"/>
      <c r="P13" s="5" t="s">
        <v>27</v>
      </c>
      <c r="Q13" s="10"/>
      <c r="R13" s="10"/>
      <c r="S13" s="10"/>
      <c r="T13" s="7"/>
      <c r="U13" s="5">
        <v>1916</v>
      </c>
      <c r="V13" s="4">
        <v>8151</v>
      </c>
      <c r="Y13" s="5">
        <v>1989</v>
      </c>
      <c r="Z13" s="4">
        <v>31570</v>
      </c>
      <c r="AA13" s="4">
        <v>26851</v>
      </c>
      <c r="AB13" s="1">
        <f t="shared" si="0"/>
        <v>31.57</v>
      </c>
      <c r="AC13" s="1">
        <f t="shared" si="1"/>
        <v>26.850999999999999</v>
      </c>
    </row>
    <row r="14" spans="1:29">
      <c r="A14" s="5">
        <v>1984</v>
      </c>
      <c r="B14" s="7">
        <v>11545</v>
      </c>
      <c r="C14" s="10">
        <v>11579.406940083547</v>
      </c>
      <c r="D14" s="10">
        <v>175</v>
      </c>
      <c r="E14" s="10">
        <v>42</v>
      </c>
      <c r="F14" s="87" t="s">
        <v>100</v>
      </c>
      <c r="G14" s="10">
        <f t="shared" si="3"/>
        <v>217</v>
      </c>
      <c r="H14" s="10">
        <f t="shared" si="4"/>
        <v>11796.406940083547</v>
      </c>
      <c r="I14" s="90">
        <f t="shared" si="2"/>
        <v>1.839543185498678E-2</v>
      </c>
      <c r="J14" s="2"/>
      <c r="K14" s="2"/>
      <c r="L14" s="10"/>
      <c r="M14" s="10"/>
      <c r="N14" s="10">
        <v>61</v>
      </c>
      <c r="O14" s="10">
        <v>1682</v>
      </c>
      <c r="P14" s="5" t="s">
        <v>27</v>
      </c>
      <c r="Q14" s="10"/>
      <c r="R14" s="10"/>
      <c r="S14" s="10"/>
      <c r="T14" s="7"/>
      <c r="U14" s="5">
        <v>1917</v>
      </c>
      <c r="V14" s="4">
        <v>1532</v>
      </c>
      <c r="Y14" s="5">
        <v>1990</v>
      </c>
      <c r="Z14" s="4">
        <v>73181</v>
      </c>
      <c r="AA14" s="4">
        <v>42987</v>
      </c>
      <c r="AB14" s="1">
        <f t="shared" si="0"/>
        <v>73.180999999999997</v>
      </c>
      <c r="AC14" s="1">
        <f t="shared" si="1"/>
        <v>42.987000000000002</v>
      </c>
    </row>
    <row r="15" spans="1:29">
      <c r="A15" s="5">
        <v>1985</v>
      </c>
      <c r="B15" s="7">
        <v>10669</v>
      </c>
      <c r="C15" s="10">
        <v>10991.361364818644</v>
      </c>
      <c r="D15" s="10">
        <v>97</v>
      </c>
      <c r="E15" s="10">
        <v>12</v>
      </c>
      <c r="F15" s="87" t="s">
        <v>100</v>
      </c>
      <c r="G15" s="10">
        <f t="shared" si="3"/>
        <v>109</v>
      </c>
      <c r="H15" s="10">
        <f t="shared" si="4"/>
        <v>11100.361364818644</v>
      </c>
      <c r="I15" s="90">
        <f t="shared" si="2"/>
        <v>9.819500142172248E-3</v>
      </c>
      <c r="J15" s="2"/>
      <c r="K15" s="2"/>
      <c r="L15" s="10"/>
      <c r="M15" s="10"/>
      <c r="N15" s="10">
        <v>65</v>
      </c>
      <c r="O15" s="10">
        <v>1763</v>
      </c>
      <c r="P15" s="5" t="s">
        <v>27</v>
      </c>
      <c r="Q15" s="10"/>
      <c r="R15" s="10"/>
      <c r="S15" s="10"/>
      <c r="T15" s="7"/>
      <c r="U15" s="5">
        <v>1918</v>
      </c>
      <c r="V15" s="4">
        <v>20253</v>
      </c>
      <c r="Y15" s="5">
        <v>1991</v>
      </c>
      <c r="Z15" s="4">
        <v>45510</v>
      </c>
      <c r="AA15" s="4">
        <v>33250</v>
      </c>
      <c r="AB15" s="1">
        <f t="shared" si="0"/>
        <v>45.51</v>
      </c>
      <c r="AC15" s="1">
        <f t="shared" si="1"/>
        <v>33.25</v>
      </c>
    </row>
    <row r="16" spans="1:29">
      <c r="A16" s="5">
        <v>1986</v>
      </c>
      <c r="B16" s="7">
        <v>9414</v>
      </c>
      <c r="C16" s="10">
        <v>9798.1703772778565</v>
      </c>
      <c r="D16" s="10">
        <v>86</v>
      </c>
      <c r="E16" s="10">
        <v>23</v>
      </c>
      <c r="F16" s="87" t="s">
        <v>100</v>
      </c>
      <c r="G16" s="10">
        <f t="shared" si="3"/>
        <v>109</v>
      </c>
      <c r="H16" s="10">
        <f t="shared" si="4"/>
        <v>9907.1703772778565</v>
      </c>
      <c r="I16" s="90">
        <f t="shared" si="2"/>
        <v>1.100213237979555E-2</v>
      </c>
      <c r="J16" s="2"/>
      <c r="K16" s="2"/>
      <c r="L16" s="10" t="s">
        <v>28</v>
      </c>
      <c r="M16" s="10">
        <v>28220</v>
      </c>
      <c r="N16" s="10">
        <v>78</v>
      </c>
      <c r="O16" s="10">
        <v>2163</v>
      </c>
      <c r="P16" s="5" t="s">
        <v>27</v>
      </c>
      <c r="Q16" s="10" t="s">
        <v>29</v>
      </c>
      <c r="R16" s="10" t="s">
        <v>30</v>
      </c>
      <c r="S16" s="18">
        <v>900000</v>
      </c>
      <c r="T16" s="7"/>
      <c r="U16" s="5">
        <v>1919</v>
      </c>
      <c r="V16" s="4">
        <v>12780</v>
      </c>
      <c r="Y16" s="5">
        <v>1992</v>
      </c>
      <c r="Z16" s="4">
        <v>10326</v>
      </c>
      <c r="AA16" s="4">
        <v>38798</v>
      </c>
      <c r="AB16" s="1">
        <f t="shared" si="0"/>
        <v>10.326000000000001</v>
      </c>
      <c r="AC16" s="1">
        <f t="shared" si="1"/>
        <v>38.798000000000002</v>
      </c>
    </row>
    <row r="17" spans="1:29">
      <c r="A17" s="5">
        <v>1987</v>
      </c>
      <c r="B17" s="7">
        <v>12990</v>
      </c>
      <c r="C17" s="10">
        <v>14251.358370057878</v>
      </c>
      <c r="D17" s="10">
        <v>199</v>
      </c>
      <c r="E17" s="10">
        <v>0</v>
      </c>
      <c r="F17" s="87" t="s">
        <v>100</v>
      </c>
      <c r="G17" s="10">
        <f t="shared" si="3"/>
        <v>199</v>
      </c>
      <c r="H17" s="10">
        <f t="shared" si="4"/>
        <v>14450.358370057878</v>
      </c>
      <c r="I17" s="90">
        <f t="shared" si="2"/>
        <v>1.3771284760130342E-2</v>
      </c>
      <c r="J17" s="2"/>
      <c r="K17" s="2"/>
      <c r="L17" s="10" t="s">
        <v>28</v>
      </c>
      <c r="M17" s="10">
        <v>28711</v>
      </c>
      <c r="N17" s="10">
        <v>75</v>
      </c>
      <c r="O17" s="10">
        <v>3045</v>
      </c>
      <c r="P17" s="5" t="s">
        <v>27</v>
      </c>
      <c r="Q17" s="10"/>
      <c r="R17" s="10"/>
      <c r="S17" s="10"/>
      <c r="T17" s="7"/>
      <c r="U17" s="5">
        <v>1920</v>
      </c>
      <c r="V17" s="4">
        <v>17658</v>
      </c>
      <c r="Y17" s="5">
        <v>1993</v>
      </c>
      <c r="Z17" s="4">
        <v>25018</v>
      </c>
      <c r="AA17" s="4">
        <v>46784</v>
      </c>
      <c r="AB17" s="1">
        <f t="shared" si="0"/>
        <v>25.018000000000001</v>
      </c>
      <c r="AC17" s="1">
        <f t="shared" si="1"/>
        <v>46.783999999999999</v>
      </c>
    </row>
    <row r="18" spans="1:29">
      <c r="A18" s="5">
        <v>1988</v>
      </c>
      <c r="B18" s="7">
        <v>1889</v>
      </c>
      <c r="C18" s="10">
        <v>3252.0306691668725</v>
      </c>
      <c r="D18" s="10">
        <v>334</v>
      </c>
      <c r="E18" s="10">
        <v>91</v>
      </c>
      <c r="F18" s="87" t="s">
        <v>100</v>
      </c>
      <c r="G18" s="10">
        <f t="shared" si="3"/>
        <v>425</v>
      </c>
      <c r="H18" s="10">
        <f t="shared" si="4"/>
        <v>3677.0306691668725</v>
      </c>
      <c r="I18" s="90">
        <f t="shared" si="2"/>
        <v>0.11558239194569864</v>
      </c>
      <c r="J18" s="2"/>
      <c r="K18" s="2"/>
      <c r="L18" s="10"/>
      <c r="M18" s="10"/>
      <c r="N18" s="10"/>
      <c r="O18" s="10"/>
      <c r="P18" s="5" t="s">
        <v>27</v>
      </c>
      <c r="Q18" s="10"/>
      <c r="R18" s="10"/>
      <c r="S18" s="10"/>
      <c r="T18" s="7"/>
      <c r="U18" s="5">
        <v>1921</v>
      </c>
      <c r="V18" s="4">
        <v>6000</v>
      </c>
      <c r="Y18" s="5">
        <v>1994</v>
      </c>
      <c r="Z18" s="4">
        <v>39710</v>
      </c>
      <c r="AA18" s="4">
        <v>67592</v>
      </c>
      <c r="AB18" s="1">
        <f t="shared" si="0"/>
        <v>39.71</v>
      </c>
      <c r="AC18" s="1">
        <f t="shared" si="1"/>
        <v>67.591999999999999</v>
      </c>
    </row>
    <row r="19" spans="1:29">
      <c r="A19" s="5">
        <v>1989</v>
      </c>
      <c r="B19" s="7">
        <v>28669</v>
      </c>
      <c r="C19" s="10">
        <v>31570.474732028444</v>
      </c>
      <c r="D19" s="10">
        <v>2685</v>
      </c>
      <c r="E19" s="10">
        <v>535</v>
      </c>
      <c r="F19" s="87" t="s">
        <v>100</v>
      </c>
      <c r="G19" s="10">
        <f t="shared" si="3"/>
        <v>3220</v>
      </c>
      <c r="H19" s="10">
        <f t="shared" si="4"/>
        <v>34790.474732028444</v>
      </c>
      <c r="I19" s="90">
        <f t="shared" si="2"/>
        <v>9.2554069031878919E-2</v>
      </c>
      <c r="J19" s="2"/>
      <c r="K19" s="2"/>
      <c r="L19" s="10" t="s">
        <v>28</v>
      </c>
      <c r="M19" s="10">
        <v>38800</v>
      </c>
      <c r="N19" s="10"/>
      <c r="O19" s="10"/>
      <c r="P19" s="5" t="s">
        <v>26</v>
      </c>
      <c r="Q19" s="10"/>
      <c r="R19" s="10"/>
      <c r="S19" s="10"/>
      <c r="T19" s="7"/>
      <c r="U19" s="5">
        <v>1922</v>
      </c>
      <c r="V19" s="4">
        <v>1148</v>
      </c>
      <c r="Y19" s="5">
        <v>1995</v>
      </c>
      <c r="Z19" s="4">
        <v>34798</v>
      </c>
      <c r="AA19" s="4">
        <v>4242</v>
      </c>
      <c r="AB19" s="1">
        <f t="shared" si="0"/>
        <v>34.798000000000002</v>
      </c>
      <c r="AC19" s="1">
        <f t="shared" si="1"/>
        <v>4.242</v>
      </c>
    </row>
    <row r="20" spans="1:29">
      <c r="A20" s="5">
        <v>1990</v>
      </c>
      <c r="B20" s="7">
        <v>72517</v>
      </c>
      <c r="C20" s="10">
        <v>73180.571660014248</v>
      </c>
      <c r="D20" s="10">
        <v>5326</v>
      </c>
      <c r="E20" s="10">
        <v>703</v>
      </c>
      <c r="F20" s="87" t="s">
        <v>100</v>
      </c>
      <c r="G20" s="10">
        <f t="shared" si="3"/>
        <v>6029</v>
      </c>
      <c r="H20" s="10">
        <f t="shared" si="4"/>
        <v>79209.571660014248</v>
      </c>
      <c r="I20" s="90">
        <f t="shared" si="2"/>
        <v>7.6114538604978937E-2</v>
      </c>
      <c r="J20" s="2"/>
      <c r="K20" s="2"/>
      <c r="L20" s="10" t="s">
        <v>28</v>
      </c>
      <c r="M20" s="10">
        <v>59520</v>
      </c>
      <c r="N20" s="10">
        <v>107</v>
      </c>
      <c r="O20" s="10">
        <v>3045</v>
      </c>
      <c r="P20" s="5" t="s">
        <v>27</v>
      </c>
      <c r="Q20" s="10"/>
      <c r="R20" s="10"/>
      <c r="S20" s="10"/>
      <c r="T20" s="7"/>
      <c r="U20" s="5">
        <v>1923</v>
      </c>
      <c r="V20" s="4">
        <v>12141</v>
      </c>
      <c r="Y20" s="5">
        <v>1996</v>
      </c>
      <c r="Z20" s="4">
        <v>19209</v>
      </c>
      <c r="AA20" s="4">
        <v>4362</v>
      </c>
      <c r="AB20" s="1">
        <f t="shared" si="0"/>
        <v>19.209</v>
      </c>
      <c r="AC20" s="1">
        <f t="shared" si="1"/>
        <v>4.3620000000000001</v>
      </c>
    </row>
    <row r="21" spans="1:29">
      <c r="A21" s="5">
        <v>1991</v>
      </c>
      <c r="B21" s="7">
        <v>45039</v>
      </c>
      <c r="C21" s="10">
        <v>45509.809180830263</v>
      </c>
      <c r="D21" s="10">
        <v>3105</v>
      </c>
      <c r="E21" s="10">
        <v>232</v>
      </c>
      <c r="F21" s="87" t="s">
        <v>100</v>
      </c>
      <c r="G21" s="10">
        <f t="shared" si="3"/>
        <v>3337</v>
      </c>
      <c r="H21" s="10">
        <f t="shared" si="4"/>
        <v>48846.809180830263</v>
      </c>
      <c r="I21" s="90">
        <f t="shared" si="2"/>
        <v>6.8315618890201588E-2</v>
      </c>
      <c r="J21" s="2"/>
      <c r="K21" s="2"/>
      <c r="L21" s="10" t="s">
        <v>28</v>
      </c>
      <c r="M21" s="10">
        <v>236436</v>
      </c>
      <c r="N21" s="10">
        <v>97</v>
      </c>
      <c r="O21" s="10">
        <v>2844</v>
      </c>
      <c r="P21" s="5" t="s">
        <v>27</v>
      </c>
      <c r="Q21" s="10"/>
      <c r="R21" s="10"/>
      <c r="S21" s="10"/>
      <c r="T21" s="7"/>
      <c r="U21" s="5">
        <v>1924</v>
      </c>
      <c r="V21" s="4">
        <v>3434</v>
      </c>
      <c r="Z21" s="4"/>
      <c r="AA21" s="4"/>
    </row>
    <row r="22" spans="1:29">
      <c r="A22" s="5">
        <v>1992</v>
      </c>
      <c r="B22" s="7">
        <v>10231</v>
      </c>
      <c r="C22" s="10">
        <v>10325.816536999801</v>
      </c>
      <c r="D22" s="10">
        <v>96</v>
      </c>
      <c r="E22" s="10">
        <v>0</v>
      </c>
      <c r="F22" s="87" t="s">
        <v>100</v>
      </c>
      <c r="G22" s="10">
        <f t="shared" si="3"/>
        <v>96</v>
      </c>
      <c r="H22" s="10">
        <f t="shared" si="4"/>
        <v>10421.816536999801</v>
      </c>
      <c r="I22" s="90">
        <f t="shared" si="2"/>
        <v>9.2114459757738337E-3</v>
      </c>
      <c r="J22" s="2"/>
      <c r="K22" s="2"/>
      <c r="L22" s="10"/>
      <c r="M22" s="10"/>
      <c r="N22" s="10">
        <v>95</v>
      </c>
      <c r="O22" s="10">
        <v>2003</v>
      </c>
      <c r="P22" s="5" t="s">
        <v>27</v>
      </c>
      <c r="Q22" s="10"/>
      <c r="R22" s="10"/>
      <c r="S22" s="10"/>
      <c r="T22" s="7"/>
      <c r="U22" s="5">
        <v>1925</v>
      </c>
      <c r="V22" s="4">
        <v>2358</v>
      </c>
      <c r="Z22" s="4"/>
      <c r="AA22" s="4"/>
    </row>
    <row r="23" spans="1:29">
      <c r="A23" s="5">
        <v>1993</v>
      </c>
      <c r="B23" s="7">
        <v>24707</v>
      </c>
      <c r="C23" s="10">
        <v>25018.47288086998</v>
      </c>
      <c r="D23" s="10">
        <v>2326</v>
      </c>
      <c r="E23" s="10">
        <v>130</v>
      </c>
      <c r="F23" s="87" t="s">
        <v>100</v>
      </c>
      <c r="G23" s="10">
        <f t="shared" si="3"/>
        <v>2456</v>
      </c>
      <c r="H23" s="10">
        <f t="shared" si="4"/>
        <v>27474.47288086998</v>
      </c>
      <c r="I23" s="90">
        <f t="shared" si="2"/>
        <v>8.9392069891541831E-2</v>
      </c>
      <c r="J23" s="2"/>
      <c r="K23" s="2"/>
      <c r="L23" s="10"/>
      <c r="M23" s="10"/>
      <c r="N23" s="10">
        <v>109</v>
      </c>
      <c r="O23" s="10">
        <v>3205</v>
      </c>
      <c r="P23" s="5" t="s">
        <v>27</v>
      </c>
      <c r="Q23" s="10"/>
      <c r="R23" s="10"/>
      <c r="S23" s="10"/>
      <c r="T23" s="7"/>
      <c r="V23" s="4"/>
    </row>
    <row r="24" spans="1:29">
      <c r="A24" s="5">
        <v>1994</v>
      </c>
      <c r="B24" s="7">
        <v>39216</v>
      </c>
      <c r="C24" s="10">
        <v>39710.382989154925</v>
      </c>
      <c r="D24" s="10">
        <v>4120</v>
      </c>
      <c r="E24" s="10">
        <v>721</v>
      </c>
      <c r="F24" s="87" t="s">
        <v>100</v>
      </c>
      <c r="G24" s="10">
        <f t="shared" si="3"/>
        <v>4841</v>
      </c>
      <c r="H24" s="10">
        <f t="shared" si="4"/>
        <v>44551.382989154925</v>
      </c>
      <c r="I24" s="90">
        <f t="shared" si="2"/>
        <v>0.10866104877548778</v>
      </c>
      <c r="J24" s="2"/>
      <c r="K24" s="2"/>
      <c r="L24" s="10"/>
      <c r="M24" s="10"/>
      <c r="N24" s="10">
        <v>80</v>
      </c>
      <c r="O24" s="10">
        <v>1682</v>
      </c>
      <c r="P24" s="5" t="s">
        <v>27</v>
      </c>
      <c r="Q24" s="10"/>
      <c r="R24" s="10"/>
      <c r="S24" s="10"/>
      <c r="T24" s="7"/>
      <c r="V24" s="4"/>
    </row>
    <row r="25" spans="1:29">
      <c r="A25" s="5">
        <v>1995</v>
      </c>
      <c r="B25" s="7">
        <v>34216</v>
      </c>
      <c r="C25" s="10">
        <v>34797.618320235895</v>
      </c>
      <c r="D25" s="10">
        <v>2968</v>
      </c>
      <c r="E25" s="10">
        <v>646</v>
      </c>
      <c r="F25" s="87" t="s">
        <v>100</v>
      </c>
      <c r="G25" s="10">
        <f t="shared" si="3"/>
        <v>3614</v>
      </c>
      <c r="H25" s="10">
        <f t="shared" si="4"/>
        <v>38411.618320235895</v>
      </c>
      <c r="I25" s="90">
        <f t="shared" si="2"/>
        <v>9.4086116598114874E-2</v>
      </c>
      <c r="J25" s="2"/>
      <c r="K25" s="2"/>
      <c r="L25" s="10"/>
      <c r="M25" s="10"/>
      <c r="N25" s="10">
        <v>94</v>
      </c>
      <c r="O25" s="10">
        <v>2740</v>
      </c>
      <c r="P25" s="5" t="s">
        <v>27</v>
      </c>
      <c r="Q25" s="10"/>
      <c r="R25" s="10"/>
      <c r="S25" s="10"/>
      <c r="T25" s="7"/>
      <c r="V25" s="4"/>
    </row>
    <row r="26" spans="1:29">
      <c r="A26" s="5">
        <v>1996</v>
      </c>
      <c r="B26" s="7">
        <v>18725</v>
      </c>
      <c r="C26" s="10">
        <v>19209.334767083867</v>
      </c>
      <c r="D26" s="10">
        <v>3337</v>
      </c>
      <c r="E26" s="10">
        <v>1078</v>
      </c>
      <c r="F26" s="87" t="s">
        <v>100</v>
      </c>
      <c r="G26" s="10">
        <f t="shared" si="3"/>
        <v>4415</v>
      </c>
      <c r="H26" s="10">
        <f t="shared" si="4"/>
        <v>23624.334767083867</v>
      </c>
      <c r="I26" s="90">
        <f t="shared" si="2"/>
        <v>0.18688356914716112</v>
      </c>
      <c r="J26" s="2"/>
      <c r="K26" s="2"/>
      <c r="L26" s="10"/>
      <c r="M26" s="10"/>
      <c r="N26" s="10"/>
      <c r="O26" s="10"/>
      <c r="P26" s="5" t="s">
        <v>27</v>
      </c>
      <c r="Q26" s="10"/>
      <c r="R26" s="10"/>
      <c r="S26" s="10"/>
      <c r="T26" s="7"/>
      <c r="V26" s="4"/>
    </row>
    <row r="27" spans="1:29">
      <c r="A27" s="5">
        <v>1997</v>
      </c>
      <c r="B27" s="7">
        <v>28127</v>
      </c>
      <c r="C27" s="10">
        <v>28898.406062239013</v>
      </c>
      <c r="D27" s="10">
        <v>2253</v>
      </c>
      <c r="E27" s="10">
        <v>1569</v>
      </c>
      <c r="F27" s="87" t="s">
        <v>100</v>
      </c>
      <c r="G27" s="10">
        <f t="shared" si="3"/>
        <v>3822</v>
      </c>
      <c r="H27" s="10">
        <f t="shared" si="4"/>
        <v>32720.406062239013</v>
      </c>
      <c r="I27" s="90">
        <f t="shared" si="2"/>
        <v>0.11680784134310544</v>
      </c>
      <c r="L27" s="10"/>
      <c r="M27" s="10"/>
      <c r="N27" s="10"/>
      <c r="O27" s="10"/>
      <c r="P27" s="5" t="s">
        <v>26</v>
      </c>
      <c r="Q27" s="10"/>
      <c r="R27" s="10"/>
      <c r="S27" s="10"/>
      <c r="T27" s="7"/>
      <c r="U27" s="13"/>
      <c r="V27" s="4"/>
    </row>
    <row r="28" spans="1:29">
      <c r="A28" s="5">
        <v>1998</v>
      </c>
      <c r="B28" s="50"/>
      <c r="C28" s="50">
        <v>45572</v>
      </c>
      <c r="D28" s="10">
        <v>4296</v>
      </c>
      <c r="E28" s="10">
        <v>1734</v>
      </c>
      <c r="F28" s="87" t="s">
        <v>100</v>
      </c>
      <c r="G28" s="10">
        <f t="shared" si="3"/>
        <v>6030</v>
      </c>
      <c r="H28" s="87">
        <f t="shared" si="4"/>
        <v>51602</v>
      </c>
      <c r="I28" s="90">
        <f t="shared" si="2"/>
        <v>0.11685593581644123</v>
      </c>
      <c r="L28" s="10"/>
      <c r="M28" s="10"/>
      <c r="N28" s="10"/>
      <c r="O28" s="10"/>
      <c r="P28" s="5" t="s">
        <v>26</v>
      </c>
      <c r="Q28" s="10"/>
      <c r="R28" s="10"/>
      <c r="S28" s="10"/>
      <c r="T28" s="50"/>
      <c r="U28" s="13"/>
      <c r="V28" s="4"/>
    </row>
    <row r="29" spans="1:29">
      <c r="A29" s="5">
        <v>1999</v>
      </c>
      <c r="B29" s="7">
        <v>57469</v>
      </c>
      <c r="C29" s="87">
        <v>57753.571103648006</v>
      </c>
      <c r="D29" s="10">
        <v>6761</v>
      </c>
      <c r="E29" s="10">
        <v>3192</v>
      </c>
      <c r="F29" s="87" t="s">
        <v>100</v>
      </c>
      <c r="G29" s="10">
        <f t="shared" si="3"/>
        <v>9953</v>
      </c>
      <c r="H29" s="10">
        <f t="shared" si="4"/>
        <v>67706.571103648006</v>
      </c>
      <c r="I29" s="90">
        <f t="shared" si="2"/>
        <v>0.14700197983388552</v>
      </c>
      <c r="L29" s="10"/>
      <c r="M29" s="10"/>
      <c r="N29" s="10">
        <v>9</v>
      </c>
      <c r="O29" s="10"/>
      <c r="P29" s="5" t="s">
        <v>27</v>
      </c>
      <c r="Q29" s="10"/>
      <c r="R29" s="10"/>
      <c r="S29" s="10"/>
      <c r="T29" s="7"/>
      <c r="U29" s="13"/>
      <c r="V29" s="4"/>
    </row>
    <row r="30" spans="1:29">
      <c r="A30" s="5">
        <v>2000</v>
      </c>
      <c r="B30" s="7">
        <v>2948</v>
      </c>
      <c r="C30" s="87">
        <v>3032.1982934523489</v>
      </c>
      <c r="D30" s="10">
        <v>35</v>
      </c>
      <c r="E30" s="10">
        <v>60</v>
      </c>
      <c r="F30" s="87" t="s">
        <v>100</v>
      </c>
      <c r="G30" s="10">
        <f t="shared" si="3"/>
        <v>95</v>
      </c>
      <c r="H30" s="10">
        <f t="shared" si="4"/>
        <v>3127.1982934523489</v>
      </c>
      <c r="I30" s="90">
        <f t="shared" si="2"/>
        <v>3.0378630034081519E-2</v>
      </c>
      <c r="L30" s="10"/>
      <c r="M30" s="10"/>
      <c r="N30" s="10">
        <v>10</v>
      </c>
      <c r="O30" s="10"/>
      <c r="P30" s="5" t="s">
        <v>27</v>
      </c>
      <c r="Q30" s="10"/>
      <c r="R30" s="10"/>
      <c r="S30" s="10"/>
      <c r="T30" s="7"/>
      <c r="U30" s="13"/>
      <c r="V30" s="4"/>
    </row>
    <row r="31" spans="1:29">
      <c r="A31" s="5">
        <v>2001</v>
      </c>
      <c r="B31" s="8">
        <v>3661</v>
      </c>
      <c r="C31" s="87">
        <v>3666.9945177828154</v>
      </c>
      <c r="D31" s="10">
        <v>16</v>
      </c>
      <c r="E31" s="10">
        <v>34</v>
      </c>
      <c r="F31" s="87" t="s">
        <v>100</v>
      </c>
      <c r="G31" s="10">
        <f t="shared" si="3"/>
        <v>50</v>
      </c>
      <c r="H31" s="10">
        <f t="shared" si="4"/>
        <v>3716.9945177828154</v>
      </c>
      <c r="I31" s="90">
        <f t="shared" si="2"/>
        <v>1.3451728206966785E-2</v>
      </c>
      <c r="L31" s="10"/>
      <c r="M31" s="10"/>
      <c r="N31" s="10">
        <v>10</v>
      </c>
      <c r="O31" s="10"/>
      <c r="P31" s="5" t="s">
        <v>27</v>
      </c>
      <c r="Q31" s="10"/>
      <c r="R31" s="10"/>
      <c r="S31" s="10"/>
      <c r="T31" s="8"/>
      <c r="U31" s="13"/>
      <c r="V31" s="4"/>
    </row>
    <row r="32" spans="1:29">
      <c r="A32" s="5">
        <v>2002</v>
      </c>
      <c r="B32" s="9">
        <v>23918.447414749116</v>
      </c>
      <c r="C32" s="87">
        <v>23987.72021155481</v>
      </c>
      <c r="D32" s="10">
        <v>1255</v>
      </c>
      <c r="E32" s="10">
        <v>161</v>
      </c>
      <c r="F32" s="87" t="s">
        <v>106</v>
      </c>
      <c r="G32" s="10">
        <f t="shared" si="3"/>
        <v>1416</v>
      </c>
      <c r="H32" s="10">
        <f t="shared" si="4"/>
        <v>25403.72021155481</v>
      </c>
      <c r="I32" s="90">
        <f t="shared" si="2"/>
        <v>5.5739867555144006E-2</v>
      </c>
      <c r="L32" s="10"/>
      <c r="M32" s="10"/>
      <c r="N32" s="10">
        <v>6.5</v>
      </c>
      <c r="O32" s="10"/>
      <c r="P32" s="5" t="s">
        <v>27</v>
      </c>
      <c r="Q32" s="10"/>
      <c r="R32" s="10"/>
      <c r="S32" s="10"/>
      <c r="T32" s="9"/>
      <c r="U32" s="13"/>
      <c r="V32" s="4"/>
    </row>
    <row r="33" spans="1:22">
      <c r="A33" s="5">
        <v>2003</v>
      </c>
      <c r="B33" s="9">
        <v>69859</v>
      </c>
      <c r="C33" s="87">
        <v>69892.769729965003</v>
      </c>
      <c r="D33" s="10">
        <v>10591</v>
      </c>
      <c r="E33" s="10">
        <v>126</v>
      </c>
      <c r="F33" s="87">
        <v>268</v>
      </c>
      <c r="G33" s="10">
        <f t="shared" si="3"/>
        <v>10985</v>
      </c>
      <c r="H33" s="10">
        <f t="shared" si="4"/>
        <v>80877.769729965003</v>
      </c>
      <c r="I33" s="90">
        <f t="shared" si="2"/>
        <v>0.13582224184317593</v>
      </c>
      <c r="J33" s="2">
        <v>7000</v>
      </c>
      <c r="K33" s="2">
        <v>25000</v>
      </c>
      <c r="L33" s="10"/>
      <c r="M33" s="10"/>
      <c r="N33" s="10">
        <v>10</v>
      </c>
      <c r="O33" s="10"/>
      <c r="P33" s="5" t="s">
        <v>27</v>
      </c>
      <c r="Q33" s="10"/>
      <c r="R33" s="10"/>
      <c r="S33" s="10"/>
      <c r="T33" s="9"/>
      <c r="U33" s="13"/>
      <c r="V33" s="4"/>
    </row>
    <row r="34" spans="1:22">
      <c r="A34" s="5">
        <v>2004</v>
      </c>
      <c r="B34" s="9">
        <v>77049</v>
      </c>
      <c r="C34" s="87">
        <v>77262.733888424016</v>
      </c>
      <c r="D34" s="10">
        <v>9338</v>
      </c>
      <c r="E34" s="10">
        <v>295</v>
      </c>
      <c r="F34" s="87">
        <v>2269</v>
      </c>
      <c r="G34" s="10">
        <f t="shared" si="3"/>
        <v>11902</v>
      </c>
      <c r="H34" s="10">
        <f t="shared" si="4"/>
        <v>89164.733888424016</v>
      </c>
      <c r="I34" s="90">
        <f t="shared" si="2"/>
        <v>0.13348326721743517</v>
      </c>
      <c r="J34" s="2">
        <v>7000</v>
      </c>
      <c r="K34" s="2">
        <v>25000</v>
      </c>
      <c r="L34" s="10"/>
      <c r="M34" s="10"/>
      <c r="N34" s="10">
        <v>9.98</v>
      </c>
      <c r="O34" s="10"/>
      <c r="P34" s="5" t="s">
        <v>27</v>
      </c>
      <c r="Q34" s="10"/>
      <c r="R34" s="10"/>
      <c r="S34" s="10"/>
      <c r="T34" s="9"/>
      <c r="U34" s="13"/>
      <c r="V34" s="4"/>
    </row>
    <row r="35" spans="1:22">
      <c r="A35" s="5">
        <v>2005</v>
      </c>
      <c r="B35" s="9">
        <v>65546</v>
      </c>
      <c r="C35" s="87">
        <v>65653.382797031678</v>
      </c>
      <c r="D35" s="87">
        <v>5299</v>
      </c>
      <c r="E35" s="10" t="s">
        <v>100</v>
      </c>
      <c r="F35" s="87" t="s">
        <v>106</v>
      </c>
      <c r="G35" s="10">
        <f t="shared" si="3"/>
        <v>5299</v>
      </c>
      <c r="H35" s="10">
        <f t="shared" si="4"/>
        <v>70952.382797031678</v>
      </c>
      <c r="I35" s="90">
        <f t="shared" si="2"/>
        <v>7.4683890675785528E-2</v>
      </c>
      <c r="J35" s="2">
        <v>7000</v>
      </c>
      <c r="K35" s="2">
        <v>25000</v>
      </c>
      <c r="L35" s="10"/>
      <c r="M35" s="10"/>
      <c r="N35" s="10">
        <v>9.82</v>
      </c>
      <c r="O35" s="10"/>
      <c r="P35" s="5" t="s">
        <v>27</v>
      </c>
      <c r="Q35" s="10"/>
      <c r="R35" s="10"/>
      <c r="S35" s="10"/>
      <c r="T35" s="9"/>
      <c r="U35" s="3"/>
      <c r="V35" s="4"/>
    </row>
    <row r="36" spans="1:22">
      <c r="A36" s="5">
        <v>2006</v>
      </c>
      <c r="B36" s="9">
        <v>101067</v>
      </c>
      <c r="C36" s="87">
        <v>103952.85531936215</v>
      </c>
      <c r="D36" s="87">
        <v>13683</v>
      </c>
      <c r="E36" s="10" t="s">
        <v>100</v>
      </c>
      <c r="F36" s="87">
        <v>7900</v>
      </c>
      <c r="G36" s="10">
        <f t="shared" si="3"/>
        <v>21583</v>
      </c>
      <c r="H36" s="10">
        <f t="shared" si="4"/>
        <v>125535.85531936215</v>
      </c>
      <c r="I36" s="90">
        <f t="shared" si="2"/>
        <v>0.17192697612242361</v>
      </c>
      <c r="J36" s="2">
        <v>7000</v>
      </c>
      <c r="K36" s="2">
        <v>25000</v>
      </c>
      <c r="L36" s="10"/>
      <c r="M36" s="10"/>
      <c r="N36" s="10">
        <v>8.5500000000000007</v>
      </c>
      <c r="O36" s="10"/>
      <c r="P36" s="5" t="s">
        <v>27</v>
      </c>
      <c r="Q36" s="10"/>
      <c r="R36" s="10"/>
      <c r="S36" s="10"/>
      <c r="T36" s="9"/>
      <c r="U36" s="3"/>
      <c r="V36" s="4"/>
    </row>
    <row r="37" spans="1:22">
      <c r="A37" s="5">
        <v>2007</v>
      </c>
      <c r="B37" s="9">
        <v>66708</v>
      </c>
      <c r="C37" s="87">
        <v>66938.383311286743</v>
      </c>
      <c r="D37" s="87">
        <v>8711</v>
      </c>
      <c r="E37" s="10" t="s">
        <v>100</v>
      </c>
      <c r="F37" s="87">
        <v>5873</v>
      </c>
      <c r="G37" s="10">
        <f t="shared" si="3"/>
        <v>14584</v>
      </c>
      <c r="H37" s="10">
        <f t="shared" si="4"/>
        <v>81522.383311286743</v>
      </c>
      <c r="I37" s="90">
        <f t="shared" si="2"/>
        <v>0.17889565304184196</v>
      </c>
      <c r="J37" s="2">
        <v>7000</v>
      </c>
      <c r="K37" s="2">
        <v>25000</v>
      </c>
      <c r="L37" s="10"/>
      <c r="M37" s="10"/>
      <c r="N37" s="10">
        <v>10</v>
      </c>
      <c r="O37" s="10"/>
      <c r="P37" s="5" t="s">
        <v>27</v>
      </c>
      <c r="Q37" s="10"/>
      <c r="R37" s="10"/>
      <c r="S37" s="10"/>
      <c r="T37" s="9"/>
      <c r="U37" s="3"/>
      <c r="V37" s="4"/>
    </row>
    <row r="38" spans="1:22">
      <c r="A38" s="5">
        <v>2008</v>
      </c>
      <c r="B38" s="9">
        <v>10019.018015609114</v>
      </c>
      <c r="C38" s="87">
        <v>10063.982960379346</v>
      </c>
      <c r="D38" s="87">
        <v>679</v>
      </c>
      <c r="E38" s="10" t="s">
        <v>100</v>
      </c>
      <c r="F38" s="87" t="s">
        <v>106</v>
      </c>
      <c r="G38" s="10">
        <f t="shared" si="3"/>
        <v>679</v>
      </c>
      <c r="H38" s="10">
        <f t="shared" si="4"/>
        <v>10742.982960379346</v>
      </c>
      <c r="I38" s="90">
        <f t="shared" si="2"/>
        <v>6.3204047004838948E-2</v>
      </c>
      <c r="J38" s="2">
        <v>7000</v>
      </c>
      <c r="K38" s="2">
        <v>25000</v>
      </c>
      <c r="L38" s="10"/>
      <c r="M38" s="10"/>
      <c r="N38" s="10">
        <v>10</v>
      </c>
      <c r="O38" s="10"/>
      <c r="P38" s="5" t="s">
        <v>27</v>
      </c>
      <c r="Q38" s="10"/>
      <c r="R38" s="10"/>
      <c r="S38" s="10"/>
      <c r="T38" s="9"/>
      <c r="U38" s="3"/>
      <c r="V38" s="4"/>
    </row>
    <row r="39" spans="1:22">
      <c r="A39" s="5">
        <v>2009</v>
      </c>
      <c r="B39" s="9">
        <v>12503</v>
      </c>
      <c r="C39" s="87">
        <v>12568.76061614167</v>
      </c>
      <c r="D39" s="87">
        <v>1149</v>
      </c>
      <c r="E39" s="10" t="s">
        <v>100</v>
      </c>
      <c r="F39" s="87" t="s">
        <v>106</v>
      </c>
      <c r="G39" s="10">
        <f t="shared" si="3"/>
        <v>1149</v>
      </c>
      <c r="H39" s="10">
        <f t="shared" si="4"/>
        <v>13717.76061614167</v>
      </c>
      <c r="I39" s="90">
        <f t="shared" si="2"/>
        <v>8.3760027030065923E-2</v>
      </c>
      <c r="J39" s="2">
        <v>7000</v>
      </c>
      <c r="K39" s="2">
        <v>25000</v>
      </c>
      <c r="L39" s="10"/>
      <c r="M39" s="10"/>
      <c r="N39" s="10">
        <v>10</v>
      </c>
      <c r="O39" s="10"/>
      <c r="P39" s="5" t="s">
        <v>27</v>
      </c>
      <c r="Q39" s="10"/>
      <c r="R39" s="10"/>
      <c r="S39" s="10"/>
      <c r="T39" s="9"/>
      <c r="U39" s="3"/>
      <c r="V39" s="4"/>
    </row>
    <row r="40" spans="1:22">
      <c r="A40" s="5">
        <v>2010</v>
      </c>
      <c r="B40" s="10">
        <v>17066.276062329005</v>
      </c>
      <c r="C40" s="10">
        <v>17156.230945944797</v>
      </c>
      <c r="D40" s="87">
        <v>1656</v>
      </c>
      <c r="E40" s="10" t="s">
        <v>100</v>
      </c>
      <c r="F40" s="87" t="s">
        <v>106</v>
      </c>
      <c r="G40" s="10">
        <f t="shared" si="3"/>
        <v>1656</v>
      </c>
      <c r="H40" s="10">
        <f t="shared" si="4"/>
        <v>18812.230945944797</v>
      </c>
      <c r="I40" s="90">
        <f t="shared" si="2"/>
        <v>8.8027837036360149E-2</v>
      </c>
      <c r="J40" s="2">
        <v>7000</v>
      </c>
      <c r="K40" s="2">
        <v>25000</v>
      </c>
      <c r="L40" s="10"/>
      <c r="M40" s="10"/>
      <c r="N40" s="10">
        <v>10</v>
      </c>
      <c r="O40" s="10"/>
      <c r="P40" s="5" t="s">
        <v>27</v>
      </c>
      <c r="Q40" s="10"/>
      <c r="R40" s="10"/>
      <c r="S40" s="10"/>
      <c r="T40" s="10"/>
      <c r="U40" s="3"/>
      <c r="V40" s="4"/>
    </row>
    <row r="41" spans="1:22">
      <c r="A41" s="5">
        <v>2011</v>
      </c>
      <c r="B41" s="10">
        <v>21645</v>
      </c>
      <c r="C41" s="10">
        <v>22719.73299576675</v>
      </c>
      <c r="D41" s="87">
        <v>1402</v>
      </c>
      <c r="E41" s="10" t="s">
        <v>100</v>
      </c>
      <c r="F41" s="87" t="s">
        <v>106</v>
      </c>
      <c r="G41" s="10">
        <f t="shared" si="3"/>
        <v>1402</v>
      </c>
      <c r="H41" s="10">
        <f t="shared" si="4"/>
        <v>24121.73299576675</v>
      </c>
      <c r="I41" s="90">
        <f t="shared" si="2"/>
        <v>5.8121860491783257E-2</v>
      </c>
      <c r="J41" s="2">
        <v>7000</v>
      </c>
      <c r="K41" s="2">
        <v>25000</v>
      </c>
      <c r="L41" s="10"/>
      <c r="M41" s="10"/>
      <c r="N41" s="10">
        <v>10</v>
      </c>
      <c r="O41" s="10"/>
      <c r="P41" s="5" t="s">
        <v>27</v>
      </c>
      <c r="Q41" s="10"/>
      <c r="R41" s="10"/>
      <c r="S41" s="10"/>
      <c r="T41" s="10"/>
      <c r="U41" s="3"/>
      <c r="V41" s="4"/>
    </row>
    <row r="42" spans="1:22">
      <c r="A42" s="5">
        <v>2012</v>
      </c>
      <c r="B42" s="10">
        <v>40272</v>
      </c>
      <c r="C42" s="10">
        <v>40943.876533464463</v>
      </c>
      <c r="D42" s="87">
        <v>4977</v>
      </c>
      <c r="E42" s="10" t="s">
        <v>100</v>
      </c>
      <c r="F42" s="87" t="s">
        <v>106</v>
      </c>
      <c r="G42" s="10">
        <f t="shared" si="3"/>
        <v>4977</v>
      </c>
      <c r="H42" s="10">
        <f t="shared" si="4"/>
        <v>45920.876533464463</v>
      </c>
      <c r="I42" s="90">
        <f t="shared" si="2"/>
        <v>0.10838207751485432</v>
      </c>
      <c r="J42" s="2">
        <v>7000</v>
      </c>
      <c r="K42" s="2">
        <v>25000</v>
      </c>
      <c r="L42" s="10"/>
      <c r="M42" s="10"/>
      <c r="N42" s="10">
        <v>10</v>
      </c>
      <c r="O42" s="10"/>
      <c r="P42" s="5" t="s">
        <v>27</v>
      </c>
      <c r="Q42" s="10"/>
      <c r="R42" s="10"/>
      <c r="S42" s="10"/>
      <c r="T42" s="10"/>
      <c r="U42" s="3"/>
      <c r="V42" s="4"/>
    </row>
    <row r="43" spans="1:22">
      <c r="A43" s="5">
        <v>2013</v>
      </c>
      <c r="B43" s="10">
        <v>48355</v>
      </c>
      <c r="C43" s="10">
        <v>49124.280737701352</v>
      </c>
      <c r="D43" s="87">
        <v>4352</v>
      </c>
      <c r="E43" s="10" t="s">
        <v>100</v>
      </c>
      <c r="F43" s="87">
        <v>3304</v>
      </c>
      <c r="G43" s="10">
        <f t="shared" si="3"/>
        <v>7656</v>
      </c>
      <c r="H43" s="10">
        <f t="shared" si="4"/>
        <v>56780.280737701352</v>
      </c>
      <c r="I43" s="90">
        <f t="shared" si="2"/>
        <v>0.1348355432648736</v>
      </c>
      <c r="J43" s="2">
        <v>7000</v>
      </c>
      <c r="K43" s="2">
        <v>25000</v>
      </c>
      <c r="L43" s="10"/>
      <c r="M43" s="10"/>
      <c r="N43" s="10"/>
      <c r="O43" s="10"/>
      <c r="P43" s="5" t="s">
        <v>27</v>
      </c>
      <c r="Q43" s="10"/>
      <c r="R43" s="10"/>
      <c r="S43" s="10"/>
      <c r="T43" s="10"/>
      <c r="U43" s="3"/>
      <c r="V43" s="4"/>
    </row>
    <row r="44" spans="1:22">
      <c r="A44" s="5">
        <v>2014</v>
      </c>
      <c r="B44" s="10">
        <v>18694</v>
      </c>
      <c r="C44" s="10">
        <v>19936.125357064222</v>
      </c>
      <c r="D44" s="87">
        <v>1892</v>
      </c>
      <c r="E44" s="10" t="s">
        <v>100</v>
      </c>
      <c r="F44" s="112" t="s">
        <v>106</v>
      </c>
      <c r="G44" s="10">
        <f t="shared" si="3"/>
        <v>1892</v>
      </c>
      <c r="H44" s="10">
        <f t="shared" si="4"/>
        <v>21828.125357064222</v>
      </c>
      <c r="I44" s="90">
        <f t="shared" si="2"/>
        <v>8.6677163936466642E-2</v>
      </c>
      <c r="J44" s="2">
        <v>7000</v>
      </c>
      <c r="K44" s="2">
        <v>25000</v>
      </c>
      <c r="L44" s="10"/>
      <c r="M44" s="10"/>
      <c r="N44" s="10"/>
      <c r="O44" s="10"/>
      <c r="P44" s="5" t="s">
        <v>27</v>
      </c>
      <c r="Q44" s="10"/>
      <c r="R44" s="10"/>
      <c r="S44" s="10"/>
      <c r="T44" s="10"/>
      <c r="U44" s="3"/>
      <c r="V44" s="4"/>
    </row>
    <row r="45" spans="1:22">
      <c r="A45" s="5">
        <v>2015</v>
      </c>
      <c r="B45" s="10">
        <v>12540</v>
      </c>
      <c r="C45" s="10">
        <v>13982.744429542156</v>
      </c>
      <c r="D45" s="87">
        <v>520</v>
      </c>
      <c r="E45" s="10" t="s">
        <v>100</v>
      </c>
      <c r="F45" s="112" t="s">
        <v>106</v>
      </c>
      <c r="G45" s="10">
        <f t="shared" si="3"/>
        <v>520</v>
      </c>
      <c r="H45" s="10">
        <f t="shared" si="4"/>
        <v>14502.744429542156</v>
      </c>
      <c r="I45" s="90">
        <f t="shared" si="2"/>
        <v>3.5855282600219973E-2</v>
      </c>
      <c r="J45" s="2">
        <v>7000</v>
      </c>
      <c r="K45" s="2">
        <v>25000</v>
      </c>
      <c r="L45" s="10"/>
      <c r="M45" s="10"/>
      <c r="N45" s="10"/>
      <c r="O45" s="10"/>
      <c r="P45" s="5" t="s">
        <v>27</v>
      </c>
      <c r="Q45" s="10"/>
      <c r="R45" s="10"/>
      <c r="S45" s="10"/>
      <c r="T45" s="10"/>
      <c r="U45" s="3"/>
      <c r="V45" s="4"/>
    </row>
    <row r="46" spans="1:22">
      <c r="A46" s="5">
        <v>2016</v>
      </c>
      <c r="B46" s="10">
        <v>22553</v>
      </c>
      <c r="C46" s="10">
        <v>22774</v>
      </c>
      <c r="D46" s="124">
        <v>2240</v>
      </c>
      <c r="E46" s="10" t="s">
        <v>100</v>
      </c>
      <c r="F46" s="125" t="s">
        <v>182</v>
      </c>
      <c r="G46" s="10">
        <f t="shared" si="3"/>
        <v>2240</v>
      </c>
      <c r="H46" s="10">
        <f t="shared" si="4"/>
        <v>25014</v>
      </c>
      <c r="I46" s="90">
        <f t="shared" si="2"/>
        <v>8.9549852082833614E-2</v>
      </c>
      <c r="J46" s="2">
        <v>7000</v>
      </c>
      <c r="K46" s="2">
        <v>25000</v>
      </c>
      <c r="L46" s="10"/>
      <c r="M46" s="10"/>
      <c r="N46" s="10"/>
      <c r="O46" s="10"/>
      <c r="Q46" s="10"/>
      <c r="R46" s="10"/>
      <c r="S46" s="10"/>
      <c r="T46" s="10"/>
      <c r="U46" s="3"/>
      <c r="V46" s="4"/>
    </row>
    <row r="47" spans="1:22">
      <c r="B47" s="10"/>
      <c r="C47" s="10"/>
      <c r="D47" s="10"/>
      <c r="E47" s="10"/>
      <c r="F47" s="10"/>
      <c r="G47" s="10"/>
      <c r="H47" s="10"/>
      <c r="I47" s="90"/>
      <c r="J47" s="2"/>
      <c r="K47" s="2"/>
      <c r="L47" s="10"/>
      <c r="M47" s="10"/>
      <c r="N47" s="10"/>
      <c r="O47" s="10"/>
      <c r="Q47" s="10"/>
      <c r="R47" s="10"/>
      <c r="S47" s="10"/>
      <c r="U47" s="3"/>
    </row>
    <row r="48" spans="1:22">
      <c r="A48" s="113" t="s">
        <v>31</v>
      </c>
      <c r="I48" s="91"/>
    </row>
    <row r="49" spans="1:19">
      <c r="A49" s="110" t="s">
        <v>184</v>
      </c>
      <c r="I49" s="91"/>
    </row>
    <row r="50" spans="1:19">
      <c r="A50" s="1" t="s">
        <v>102</v>
      </c>
      <c r="I50" s="92"/>
      <c r="P50" s="1"/>
    </row>
    <row r="51" spans="1:19">
      <c r="A51" s="1" t="s">
        <v>103</v>
      </c>
      <c r="I51" s="92"/>
      <c r="P51" s="3"/>
      <c r="S51" s="1"/>
    </row>
    <row r="52" spans="1:19">
      <c r="A52" s="1" t="s">
        <v>177</v>
      </c>
      <c r="I52" s="92"/>
      <c r="P52" s="3"/>
      <c r="S52" s="1"/>
    </row>
    <row r="53" spans="1:19">
      <c r="A53" s="1" t="s">
        <v>104</v>
      </c>
      <c r="P53" s="3"/>
      <c r="S53" s="1"/>
    </row>
    <row r="54" spans="1:19">
      <c r="A54" s="1" t="s">
        <v>105</v>
      </c>
      <c r="P54" s="3"/>
      <c r="S54" s="1"/>
    </row>
    <row r="55" spans="1:19">
      <c r="A55" s="1" t="s">
        <v>58</v>
      </c>
      <c r="P55" s="3"/>
      <c r="S55" s="1"/>
    </row>
  </sheetData>
  <mergeCells count="4">
    <mergeCell ref="N4:O4"/>
    <mergeCell ref="Q4:S4"/>
    <mergeCell ref="L4:M4"/>
    <mergeCell ref="J4:K4"/>
  </mergeCells>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C98"/>
  <sheetViews>
    <sheetView tabSelected="1" workbookViewId="0">
      <pane xSplit="1" ySplit="5" topLeftCell="B6" activePane="bottomRight" state="frozen"/>
      <selection pane="topRight" activeCell="B1" sqref="B1"/>
      <selection pane="bottomLeft" activeCell="A5" sqref="A5"/>
      <selection pane="bottomRight" activeCell="G43" sqref="G43"/>
    </sheetView>
  </sheetViews>
  <sheetFormatPr baseColWidth="10" defaultColWidth="8.83203125" defaultRowHeight="14" x14ac:dyDescent="0"/>
  <cols>
    <col min="1" max="1" width="8.83203125" style="22"/>
    <col min="2" max="4" width="12.1640625" style="21" customWidth="1"/>
    <col min="5" max="5" width="9" style="21" customWidth="1"/>
    <col min="6" max="7" width="8" style="31" customWidth="1"/>
    <col min="8" max="8" width="10.1640625" style="30" customWidth="1"/>
    <col min="9" max="9" width="10.83203125" style="21" customWidth="1"/>
    <col min="10" max="10" width="6.6640625" style="30" customWidth="1"/>
    <col min="11" max="11" width="16.33203125" style="21" customWidth="1"/>
    <col min="12" max="12" width="10.1640625" style="30" customWidth="1"/>
    <col min="13" max="13" width="10" style="21" customWidth="1"/>
    <col min="14" max="14" width="6.6640625" style="30" customWidth="1"/>
    <col min="15" max="15" width="9.83203125" style="21" customWidth="1"/>
    <col min="16" max="16" width="6.6640625" style="30" customWidth="1"/>
    <col min="17" max="17" width="6.6640625" style="21" customWidth="1"/>
    <col min="18" max="18" width="6.6640625" style="30" customWidth="1"/>
    <col min="19" max="19" width="10.5" style="21" customWidth="1"/>
    <col min="20" max="20" width="7.33203125" style="21" customWidth="1"/>
    <col min="21" max="21" width="6.6640625" style="22" customWidth="1"/>
    <col min="22" max="23" width="6.6640625" style="27" customWidth="1"/>
    <col min="24" max="26" width="6.6640625" style="22" customWidth="1"/>
    <col min="27" max="16384" width="8.83203125" style="22"/>
  </cols>
  <sheetData>
    <row r="1" spans="1:26" ht="15">
      <c r="A1" s="19" t="s">
        <v>186</v>
      </c>
      <c r="D1" s="82"/>
    </row>
    <row r="2" spans="1:26" ht="15">
      <c r="A2" s="82" t="s">
        <v>101</v>
      </c>
      <c r="D2" s="82"/>
      <c r="H2" s="23" t="s">
        <v>78</v>
      </c>
    </row>
    <row r="3" spans="1:26" ht="15">
      <c r="A3" s="82"/>
      <c r="L3" s="137" t="s">
        <v>191</v>
      </c>
    </row>
    <row r="4" spans="1:26">
      <c r="A4" s="44"/>
      <c r="B4" s="53"/>
      <c r="C4" s="51"/>
      <c r="D4" s="51"/>
      <c r="E4" s="51"/>
      <c r="F4" s="51"/>
      <c r="G4" s="51"/>
      <c r="H4" s="45" t="s">
        <v>55</v>
      </c>
      <c r="I4" s="46"/>
      <c r="J4" s="47"/>
      <c r="K4" s="48"/>
      <c r="L4" s="43" t="s">
        <v>50</v>
      </c>
      <c r="M4" s="43" t="s">
        <v>50</v>
      </c>
      <c r="N4" s="49"/>
      <c r="O4" s="48"/>
      <c r="P4" s="49"/>
      <c r="Q4" s="48"/>
      <c r="R4" s="49"/>
      <c r="S4" s="48"/>
      <c r="U4" s="24"/>
    </row>
    <row r="5" spans="1:26">
      <c r="A5" s="139" t="s">
        <v>192</v>
      </c>
      <c r="B5" s="134" t="s">
        <v>1</v>
      </c>
      <c r="C5" s="52" t="s">
        <v>10</v>
      </c>
      <c r="D5" s="52" t="s">
        <v>32</v>
      </c>
      <c r="E5" s="52" t="s">
        <v>14</v>
      </c>
      <c r="F5" s="52" t="s">
        <v>57</v>
      </c>
      <c r="G5" s="52" t="s">
        <v>72</v>
      </c>
      <c r="H5" s="43" t="s">
        <v>0</v>
      </c>
      <c r="I5" s="134" t="s">
        <v>187</v>
      </c>
      <c r="J5" s="43"/>
      <c r="K5" s="134" t="s">
        <v>193</v>
      </c>
      <c r="L5" s="134" t="s">
        <v>188</v>
      </c>
      <c r="M5" s="134" t="s">
        <v>189</v>
      </c>
      <c r="N5" s="43"/>
      <c r="O5" s="134" t="s">
        <v>194</v>
      </c>
      <c r="P5" s="43"/>
      <c r="Q5" s="134" t="s">
        <v>195</v>
      </c>
      <c r="R5" s="43"/>
      <c r="S5" s="134" t="s">
        <v>196</v>
      </c>
      <c r="T5" s="26"/>
      <c r="U5" s="26"/>
      <c r="V5" s="31" t="s">
        <v>73</v>
      </c>
      <c r="W5" s="31" t="s">
        <v>74</v>
      </c>
      <c r="X5" s="26"/>
      <c r="Y5" s="26"/>
      <c r="Z5" s="26"/>
    </row>
    <row r="6" spans="1:26">
      <c r="A6" s="27">
        <v>1982</v>
      </c>
      <c r="B6" s="21">
        <f>'Summary Data'!C12</f>
        <v>455.8408662342689</v>
      </c>
      <c r="C6" s="21">
        <f>'Summary Data'!G12</f>
        <v>99</v>
      </c>
      <c r="D6" s="21">
        <f>SUM(B6:C6)</f>
        <v>554.8408662342689</v>
      </c>
      <c r="E6" s="21">
        <f>SUM(I6,K6,M6,O6,Q6,S6,L6)</f>
        <v>6841.4846357655242</v>
      </c>
      <c r="F6" s="54">
        <f>E6/B6</f>
        <v>15.008493407542581</v>
      </c>
      <c r="G6" s="54">
        <f>LN(F6)</f>
        <v>2.7086162680255992</v>
      </c>
      <c r="H6" s="140">
        <v>1985</v>
      </c>
      <c r="I6" s="38">
        <f>D9*'Escapement Age'!B8</f>
        <v>76.20385376305704</v>
      </c>
      <c r="J6" s="140">
        <v>1986</v>
      </c>
      <c r="K6" s="38">
        <f>D10*'Escapement Age'!C9</f>
        <v>1811.8171507084016</v>
      </c>
      <c r="L6" s="136">
        <f>$D11*'Escapement Age'!D10</f>
        <v>2797.2837260263127</v>
      </c>
      <c r="M6" s="136">
        <f>$D11*'Escapement Age'!E10</f>
        <v>1787.5325273631559</v>
      </c>
      <c r="N6" s="140">
        <v>1988</v>
      </c>
      <c r="O6" s="38">
        <f>D12*'Escapement Age'!F11</f>
        <v>347.82722546173119</v>
      </c>
      <c r="P6" s="140">
        <v>1989</v>
      </c>
      <c r="Q6" s="38">
        <f>D13*'Escapement Age'!G12</f>
        <v>20.820152442865616</v>
      </c>
      <c r="R6" s="140">
        <v>1990</v>
      </c>
      <c r="S6" s="38">
        <f>D14*'Escapement Age'!H13</f>
        <v>0</v>
      </c>
      <c r="U6" s="28"/>
      <c r="V6" s="31">
        <f>B6/1000</f>
        <v>0.45584086623426889</v>
      </c>
      <c r="W6" s="31">
        <f>E6/1000</f>
        <v>6.8414846357655241</v>
      </c>
      <c r="X6" s="28"/>
      <c r="Y6" s="28"/>
      <c r="Z6" s="28"/>
    </row>
    <row r="7" spans="1:26">
      <c r="A7" s="27">
        <v>1983</v>
      </c>
      <c r="B7" s="21">
        <f>'Summary Data'!C13</f>
        <v>2539.7855103785087</v>
      </c>
      <c r="C7" s="21">
        <f>'Summary Data'!G13</f>
        <v>36</v>
      </c>
      <c r="D7" s="21">
        <f t="shared" ref="D7:D40" si="0">SUM(B7:C7)</f>
        <v>2575.7855103785087</v>
      </c>
      <c r="E7" s="21">
        <f t="shared" ref="E7:E34" si="1">SUM(I7,K7,M7,O7,Q7,S7,L7)</f>
        <v>12987.021749199132</v>
      </c>
      <c r="F7" s="54">
        <f t="shared" ref="F7:F33" si="2">E7/B7</f>
        <v>5.1134324911018387</v>
      </c>
      <c r="G7" s="54">
        <f t="shared" ref="G7:G33" si="3">LN(F7)</f>
        <v>1.6318708990846413</v>
      </c>
      <c r="H7" s="140">
        <v>1986</v>
      </c>
      <c r="I7" s="38">
        <f>D10*'Escapement Age'!B9</f>
        <v>69.388741942023898</v>
      </c>
      <c r="J7" s="140">
        <v>1987</v>
      </c>
      <c r="K7" s="38">
        <f>D11*'Escapement Age'!C10</f>
        <v>5962.9901866999935</v>
      </c>
      <c r="L7" s="136">
        <f>$D12*'Escapement Age'!D11</f>
        <v>725.46821310589655</v>
      </c>
      <c r="M7" s="136">
        <f>$D12*'Escapement Age'!E11</f>
        <v>2126.715035680299</v>
      </c>
      <c r="N7" s="140">
        <v>1989</v>
      </c>
      <c r="O7" s="38">
        <f>D13*'Escapement Age'!F12</f>
        <v>4080.749878801661</v>
      </c>
      <c r="P7" s="140">
        <v>1990</v>
      </c>
      <c r="Q7" s="38">
        <f>D14*'Escapement Age'!G13</f>
        <v>0</v>
      </c>
      <c r="R7" s="140">
        <v>1991</v>
      </c>
      <c r="S7" s="38">
        <f>D15*'Escapement Age'!H14</f>
        <v>21.709692969257897</v>
      </c>
      <c r="U7" s="28"/>
      <c r="V7" s="31">
        <f t="shared" ref="V7:V26" si="4">B7/1000</f>
        <v>2.5397855103785085</v>
      </c>
      <c r="W7" s="31">
        <f t="shared" ref="W7:W26" si="5">E7/1000</f>
        <v>12.987021749199132</v>
      </c>
      <c r="X7" s="28"/>
      <c r="Y7" s="28"/>
      <c r="Z7" s="28"/>
    </row>
    <row r="8" spans="1:26">
      <c r="A8" s="27">
        <v>1984</v>
      </c>
      <c r="B8" s="21">
        <f>'Summary Data'!C14</f>
        <v>11579.406940083547</v>
      </c>
      <c r="C8" s="21">
        <f>'Summary Data'!G14</f>
        <v>217</v>
      </c>
      <c r="D8" s="21">
        <f t="shared" si="0"/>
        <v>11796.406940083547</v>
      </c>
      <c r="E8" s="21">
        <f t="shared" si="1"/>
        <v>50497.987483661302</v>
      </c>
      <c r="F8" s="54">
        <f t="shared" si="2"/>
        <v>4.3610167381592131</v>
      </c>
      <c r="G8" s="54">
        <f t="shared" si="3"/>
        <v>1.4727052270002972</v>
      </c>
      <c r="H8" s="140">
        <v>1987</v>
      </c>
      <c r="I8" s="38">
        <f>D11*'Escapement Age'!B10</f>
        <v>95.517005278947252</v>
      </c>
      <c r="J8" s="140">
        <v>1988</v>
      </c>
      <c r="K8" s="38">
        <f>D12*'Escapement Age'!C11</f>
        <v>477.02019491894566</v>
      </c>
      <c r="L8" s="136">
        <f>$D13*'Escapement Age'!D12</f>
        <v>8036.5788429461281</v>
      </c>
      <c r="M8" s="136">
        <f>$D13*'Escapement Age'!E12</f>
        <v>19570.943296293677</v>
      </c>
      <c r="N8" s="140">
        <v>1990</v>
      </c>
      <c r="O8" s="38">
        <f>D14*'Escapement Age'!F13</f>
        <v>21080.475644975904</v>
      </c>
      <c r="P8" s="140">
        <v>1991</v>
      </c>
      <c r="Q8" s="38">
        <f>D15*'Escapement Age'!G14</f>
        <v>1237.4524992477</v>
      </c>
      <c r="R8" s="140">
        <v>1992</v>
      </c>
      <c r="S8" s="38">
        <f>D16*'Escapement Age'!H15</f>
        <v>0</v>
      </c>
      <c r="U8" s="28"/>
      <c r="V8" s="31">
        <f t="shared" si="4"/>
        <v>11.579406940083548</v>
      </c>
      <c r="W8" s="31">
        <f t="shared" si="5"/>
        <v>50.497987483661305</v>
      </c>
      <c r="X8" s="28"/>
      <c r="Y8" s="28"/>
      <c r="Z8" s="28"/>
    </row>
    <row r="9" spans="1:26">
      <c r="A9" s="27">
        <v>1985</v>
      </c>
      <c r="B9" s="21">
        <f>'Summary Data'!C15</f>
        <v>10991.361364818644</v>
      </c>
      <c r="C9" s="21">
        <f>'Summary Data'!G15</f>
        <v>109</v>
      </c>
      <c r="D9" s="21">
        <f t="shared" si="0"/>
        <v>11100.361364818644</v>
      </c>
      <c r="E9" s="21">
        <f t="shared" si="1"/>
        <v>96461.043809188952</v>
      </c>
      <c r="F9" s="54">
        <f t="shared" si="2"/>
        <v>8.7760779222438519</v>
      </c>
      <c r="G9" s="54">
        <f t="shared" si="3"/>
        <v>2.1720296019494465</v>
      </c>
      <c r="H9" s="140">
        <v>1988</v>
      </c>
      <c r="I9" s="38">
        <f>D12*'Escapement Age'!B11</f>
        <v>0</v>
      </c>
      <c r="J9" s="140">
        <v>1989</v>
      </c>
      <c r="K9" s="38">
        <f>D13*'Escapement Age'!C12</f>
        <v>2894.0011895583207</v>
      </c>
      <c r="L9" s="136">
        <f>$D14*'Escapement Age'!D13</f>
        <v>7132.0172092283747</v>
      </c>
      <c r="M9" s="136">
        <f>$D14*'Escapement Age'!E13</f>
        <v>46263.439065171668</v>
      </c>
      <c r="N9" s="140">
        <v>1991</v>
      </c>
      <c r="O9" s="38">
        <f>D15*'Escapement Age'!F14</f>
        <v>39967.544756403782</v>
      </c>
      <c r="P9" s="140">
        <v>1992</v>
      </c>
      <c r="Q9" s="38">
        <f>D16*'Escapement Age'!G15</f>
        <v>204.04158882680332</v>
      </c>
      <c r="R9" s="140">
        <v>1993</v>
      </c>
      <c r="S9" s="38">
        <f>D17*'Escapement Age'!H16</f>
        <v>0</v>
      </c>
      <c r="U9" s="28"/>
      <c r="V9" s="31">
        <f t="shared" si="4"/>
        <v>10.991361364818644</v>
      </c>
      <c r="W9" s="31">
        <f t="shared" si="5"/>
        <v>96.461043809188951</v>
      </c>
      <c r="X9" s="28"/>
      <c r="Y9" s="28"/>
      <c r="Z9" s="28"/>
    </row>
    <row r="10" spans="1:26">
      <c r="A10" s="27">
        <v>1986</v>
      </c>
      <c r="B10" s="21">
        <f>'Summary Data'!C16</f>
        <v>9798.1703772778565</v>
      </c>
      <c r="C10" s="21">
        <f>'Summary Data'!G16</f>
        <v>109</v>
      </c>
      <c r="D10" s="21">
        <f t="shared" si="0"/>
        <v>9907.1703772778565</v>
      </c>
      <c r="E10" s="21">
        <f t="shared" si="1"/>
        <v>10905.144585362272</v>
      </c>
      <c r="F10" s="54">
        <f t="shared" si="2"/>
        <v>1.1129776443417956</v>
      </c>
      <c r="G10" s="54">
        <f t="shared" si="3"/>
        <v>0.10703898614540715</v>
      </c>
      <c r="H10" s="140">
        <v>1989</v>
      </c>
      <c r="I10" s="38">
        <f>D13*'Escapement Age'!B12</f>
        <v>166.56121954292493</v>
      </c>
      <c r="J10" s="140">
        <v>1990</v>
      </c>
      <c r="K10" s="38">
        <f>D14*'Escapement Age'!C13</f>
        <v>4228.7181683035496</v>
      </c>
      <c r="L10" s="136">
        <f>$D15*'Escapement Age'!D14</f>
        <v>1606.5172797250843</v>
      </c>
      <c r="M10" s="136">
        <f>$D15*'Escapement Age'!E14</f>
        <v>1606.5172797250843</v>
      </c>
      <c r="N10" s="140">
        <v>1992</v>
      </c>
      <c r="O10" s="38">
        <f>D16*'Escapement Age'!F15</f>
        <v>3037.0805721528036</v>
      </c>
      <c r="P10" s="140">
        <v>1993</v>
      </c>
      <c r="Q10" s="38">
        <f>D17*'Escapement Age'!G16</f>
        <v>259.75006591282317</v>
      </c>
      <c r="R10" s="140">
        <v>1994</v>
      </c>
      <c r="S10" s="38">
        <f>D18*'Escapement Age'!H17</f>
        <v>0</v>
      </c>
      <c r="U10" s="28"/>
      <c r="V10" s="31">
        <f t="shared" si="4"/>
        <v>9.7981703772778559</v>
      </c>
      <c r="W10" s="31">
        <f t="shared" si="5"/>
        <v>10.905144585362272</v>
      </c>
      <c r="X10" s="28"/>
      <c r="Y10" s="28"/>
      <c r="Z10" s="28"/>
    </row>
    <row r="11" spans="1:26">
      <c r="A11" s="27">
        <v>1987</v>
      </c>
      <c r="B11" s="21">
        <f>'Summary Data'!C17</f>
        <v>14251.358370057878</v>
      </c>
      <c r="C11" s="21">
        <f>'Summary Data'!G17</f>
        <v>199</v>
      </c>
      <c r="D11" s="21">
        <f t="shared" si="0"/>
        <v>14450.358370057878</v>
      </c>
      <c r="E11" s="21">
        <f t="shared" si="1"/>
        <v>14164.067960045561</v>
      </c>
      <c r="F11" s="54">
        <f t="shared" si="2"/>
        <v>0.9938749410585509</v>
      </c>
      <c r="G11" s="54">
        <f t="shared" si="3"/>
        <v>-6.1438940651815984E-3</v>
      </c>
      <c r="H11" s="140">
        <v>1990</v>
      </c>
      <c r="I11" s="38">
        <f>D14*'Escapement Age'!B13</f>
        <v>504.92157233475217</v>
      </c>
      <c r="J11" s="140">
        <v>1991</v>
      </c>
      <c r="K11" s="38">
        <f>D15*'Escapement Age'!C14</f>
        <v>4255.099821974547</v>
      </c>
      <c r="L11" s="136">
        <f>$D16*'Escapement Age'!D15</f>
        <v>3154.796873399036</v>
      </c>
      <c r="M11" s="136">
        <f>$D16*'Escapement Age'!E15</f>
        <v>1475.3776422861165</v>
      </c>
      <c r="N11" s="140">
        <v>1993</v>
      </c>
      <c r="O11" s="38">
        <f>D17*'Escapement Age'!F16</f>
        <v>4049.7396640044708</v>
      </c>
      <c r="P11" s="140">
        <v>1994</v>
      </c>
      <c r="Q11" s="38">
        <f>D18*'Escapement Age'!G17</f>
        <v>724.13238604663582</v>
      </c>
      <c r="R11" s="140">
        <v>1995</v>
      </c>
      <c r="S11" s="38">
        <f>D19*'Escapement Age'!H18</f>
        <v>0</v>
      </c>
      <c r="U11" s="28"/>
      <c r="V11" s="31">
        <f t="shared" si="4"/>
        <v>14.251358370057879</v>
      </c>
      <c r="W11" s="31">
        <f t="shared" si="5"/>
        <v>14.164067960045561</v>
      </c>
      <c r="X11" s="28"/>
      <c r="Y11" s="28"/>
      <c r="Z11" s="28"/>
    </row>
    <row r="12" spans="1:26">
      <c r="A12" s="27">
        <v>1988</v>
      </c>
      <c r="B12" s="21">
        <f>'Summary Data'!C18</f>
        <v>3252.0306691668725</v>
      </c>
      <c r="C12" s="21">
        <f>'Summary Data'!G18</f>
        <v>425</v>
      </c>
      <c r="D12" s="21">
        <f t="shared" si="0"/>
        <v>3677.0306691668725</v>
      </c>
      <c r="E12" s="21">
        <f t="shared" si="1"/>
        <v>31795.831521538796</v>
      </c>
      <c r="F12" s="54">
        <f t="shared" si="2"/>
        <v>9.7772237583738626</v>
      </c>
      <c r="G12" s="54">
        <f t="shared" si="3"/>
        <v>2.2800555744612874</v>
      </c>
      <c r="H12" s="140">
        <v>1991</v>
      </c>
      <c r="I12" s="38">
        <f>D15*'Escapement Age'!B14</f>
        <v>108.54846484628948</v>
      </c>
      <c r="J12" s="140">
        <v>1992</v>
      </c>
      <c r="K12" s="38">
        <f>D16*'Escapement Age'!C15</f>
        <v>1742.2012584442436</v>
      </c>
      <c r="L12" s="136">
        <f>$D17*'Escapement Age'!D16</f>
        <v>2113.4209908361522</v>
      </c>
      <c r="M12" s="136">
        <f>$D17*'Escapement Age'!E16</f>
        <v>11594.2983966542</v>
      </c>
      <c r="N12" s="140">
        <v>1994</v>
      </c>
      <c r="O12" s="38">
        <f>D18*'Escapement Age'!F17</f>
        <v>16137.807460467884</v>
      </c>
      <c r="P12" s="140">
        <v>1995</v>
      </c>
      <c r="Q12" s="38">
        <f>D19*'Escapement Age'!G18</f>
        <v>99.554950290028245</v>
      </c>
      <c r="R12" s="140">
        <v>1996</v>
      </c>
      <c r="S12" s="38">
        <f>D20*'Escapement Age'!H19</f>
        <v>0</v>
      </c>
      <c r="U12" s="28"/>
      <c r="V12" s="31">
        <f t="shared" si="4"/>
        <v>3.2520306691668726</v>
      </c>
      <c r="W12" s="31">
        <f t="shared" si="5"/>
        <v>31.795831521538794</v>
      </c>
      <c r="X12" s="28"/>
      <c r="Y12" s="28"/>
      <c r="Z12" s="28"/>
    </row>
    <row r="13" spans="1:26">
      <c r="A13" s="27">
        <v>1989</v>
      </c>
      <c r="B13" s="21">
        <f>'Summary Data'!C19</f>
        <v>31570.474732028444</v>
      </c>
      <c r="C13" s="21">
        <f>'Summary Data'!G19</f>
        <v>3220</v>
      </c>
      <c r="D13" s="21">
        <f t="shared" si="0"/>
        <v>34790.474732028444</v>
      </c>
      <c r="E13" s="21">
        <f t="shared" si="1"/>
        <v>26863.073882470133</v>
      </c>
      <c r="F13" s="54">
        <f t="shared" si="2"/>
        <v>0.85089230081223255</v>
      </c>
      <c r="G13" s="54">
        <f t="shared" si="3"/>
        <v>-0.16146971445498348</v>
      </c>
      <c r="H13" s="140">
        <v>1992</v>
      </c>
      <c r="I13" s="38">
        <f>D16*'Escapement Age'!B15</f>
        <v>745.53657455947371</v>
      </c>
      <c r="J13" s="140">
        <v>1993</v>
      </c>
      <c r="K13" s="38">
        <f>D17*'Escapement Age'!C16</f>
        <v>9162.0932340159452</v>
      </c>
      <c r="L13" s="136">
        <f>$D18*'Escapement Age'!D17</f>
        <v>13517.137872870535</v>
      </c>
      <c r="M13" s="136">
        <f>$D18*'Escapement Age'!E17</f>
        <v>1465.5060193800962</v>
      </c>
      <c r="N13" s="140">
        <v>1995</v>
      </c>
      <c r="O13" s="38">
        <f>D19*'Escapement Age'!F18</f>
        <v>1957.9140223705554</v>
      </c>
      <c r="P13" s="140">
        <v>1996</v>
      </c>
      <c r="Q13" s="38">
        <f>D20*'Escapement Age'!G19</f>
        <v>14.886159273524806</v>
      </c>
      <c r="R13" s="140">
        <v>1997</v>
      </c>
      <c r="S13" s="38">
        <f>D21*'Escapement Age'!H20</f>
        <v>0</v>
      </c>
      <c r="U13" s="28"/>
      <c r="V13" s="31">
        <f t="shared" si="4"/>
        <v>31.570474732028444</v>
      </c>
      <c r="W13" s="31">
        <f t="shared" si="5"/>
        <v>26.863073882470133</v>
      </c>
      <c r="X13" s="28"/>
      <c r="Y13" s="28"/>
      <c r="Z13" s="28"/>
    </row>
    <row r="14" spans="1:26">
      <c r="A14" s="27">
        <v>1990</v>
      </c>
      <c r="B14" s="21">
        <f>'Summary Data'!C20</f>
        <v>73180.571660014248</v>
      </c>
      <c r="C14" s="21">
        <f>'Summary Data'!G20</f>
        <v>6029</v>
      </c>
      <c r="D14" s="21">
        <f t="shared" si="0"/>
        <v>79209.571660014248</v>
      </c>
      <c r="E14" s="21">
        <f t="shared" si="1"/>
        <v>42984.649228236354</v>
      </c>
      <c r="F14" s="54">
        <f t="shared" si="2"/>
        <v>0.58737788258796975</v>
      </c>
      <c r="G14" s="54">
        <f t="shared" si="3"/>
        <v>-0.53208691399431962</v>
      </c>
      <c r="H14" s="140">
        <v>1993</v>
      </c>
      <c r="I14" s="38">
        <f>D17*'Escapement Age'!B16</f>
        <v>295.17052944638999</v>
      </c>
      <c r="J14" s="140">
        <v>1994</v>
      </c>
      <c r="K14" s="38">
        <f>D18*'Escapement Age'!C17</f>
        <v>12258.526820932335</v>
      </c>
      <c r="L14" s="136">
        <f>$D19*'Escapement Age'!D18</f>
        <v>25237.179898522158</v>
      </c>
      <c r="M14" s="136">
        <f>$D19*'Escapement Age'!E18</f>
        <v>2289.7638566706491</v>
      </c>
      <c r="N14" s="140">
        <v>1996</v>
      </c>
      <c r="O14" s="38">
        <f>D20*'Escapement Age'!F19</f>
        <v>2902.8010583373371</v>
      </c>
      <c r="P14" s="140">
        <v>1997</v>
      </c>
      <c r="Q14" s="38">
        <f>D21*'Escapement Age'!G20</f>
        <v>0</v>
      </c>
      <c r="R14" s="140">
        <v>1998</v>
      </c>
      <c r="S14" s="40">
        <f>D22*'Escapement Age'!H41</f>
        <v>1.2070643274853803</v>
      </c>
      <c r="U14" s="28"/>
      <c r="V14" s="31">
        <f t="shared" si="4"/>
        <v>73.180571660014252</v>
      </c>
      <c r="W14" s="31">
        <f t="shared" si="5"/>
        <v>42.984649228236357</v>
      </c>
      <c r="X14" s="28"/>
      <c r="Y14" s="28"/>
      <c r="Z14" s="28"/>
    </row>
    <row r="15" spans="1:26">
      <c r="A15" s="27">
        <v>1991</v>
      </c>
      <c r="B15" s="21">
        <f>'Summary Data'!C21</f>
        <v>45509.809180830263</v>
      </c>
      <c r="C15" s="21">
        <f>'Summary Data'!G21</f>
        <v>3337</v>
      </c>
      <c r="D15" s="21">
        <f t="shared" si="0"/>
        <v>48846.809180830263</v>
      </c>
      <c r="E15" s="21">
        <f t="shared" si="1"/>
        <v>33230.09067123814</v>
      </c>
      <c r="F15" s="54">
        <f t="shared" si="2"/>
        <v>0.73017424747268311</v>
      </c>
      <c r="G15" s="54">
        <f t="shared" si="3"/>
        <v>-0.31447207815480038</v>
      </c>
      <c r="H15" s="140">
        <v>1994</v>
      </c>
      <c r="I15" s="38">
        <f>D18*'Escapement Age'!B17</f>
        <v>431.03118217061655</v>
      </c>
      <c r="J15" s="140">
        <v>1995</v>
      </c>
      <c r="K15" s="38">
        <f>D19*'Escapement Age'!C18</f>
        <v>5326.1898405165111</v>
      </c>
      <c r="L15" s="136">
        <f>$D20*'Escapement Age'!D19</f>
        <v>5939.5775501363978</v>
      </c>
      <c r="M15" s="136">
        <f>$D20*'Escapement Age'!E19</f>
        <v>8083.1844855239697</v>
      </c>
      <c r="N15" s="140">
        <v>1997</v>
      </c>
      <c r="O15" s="38">
        <f>D21*'Escapement Age'!F20</f>
        <v>12990.873941632279</v>
      </c>
      <c r="P15" s="140">
        <v>1998</v>
      </c>
      <c r="Q15" s="40">
        <f>D22*'Escapement Age'!G41</f>
        <v>459.23367125836688</v>
      </c>
      <c r="R15" s="140">
        <v>1999</v>
      </c>
      <c r="S15" s="38">
        <f>D23*'Escapement Age'!H22</f>
        <v>0</v>
      </c>
      <c r="U15" s="28"/>
      <c r="V15" s="31">
        <f t="shared" si="4"/>
        <v>45.50980918083026</v>
      </c>
      <c r="W15" s="31">
        <f t="shared" si="5"/>
        <v>33.230090671238138</v>
      </c>
      <c r="X15" s="28"/>
      <c r="Y15" s="28"/>
      <c r="Z15" s="28"/>
    </row>
    <row r="16" spans="1:26">
      <c r="A16" s="27">
        <v>1992</v>
      </c>
      <c r="B16" s="21">
        <f>'Summary Data'!C22</f>
        <v>10325.816536999801</v>
      </c>
      <c r="C16" s="21">
        <f>'Summary Data'!G22</f>
        <v>96</v>
      </c>
      <c r="D16" s="21">
        <f t="shared" si="0"/>
        <v>10421.816536999801</v>
      </c>
      <c r="E16" s="21">
        <f t="shared" si="1"/>
        <v>37155.239062015346</v>
      </c>
      <c r="F16" s="54">
        <f t="shared" si="2"/>
        <v>3.5982858042150458</v>
      </c>
      <c r="G16" s="54">
        <f t="shared" si="3"/>
        <v>1.2804575665634537</v>
      </c>
      <c r="H16" s="140">
        <v>1995</v>
      </c>
      <c r="I16" s="38">
        <f>D19*'Escapement Age'!B18</f>
        <v>3501.015751865993</v>
      </c>
      <c r="J16" s="140">
        <v>1996</v>
      </c>
      <c r="K16" s="38">
        <f>D20*'Escapement Age'!C19</f>
        <v>5969.3498686834473</v>
      </c>
      <c r="L16" s="136">
        <f>$D21*'Escapement Age'!D20</f>
        <v>13849.301735132211</v>
      </c>
      <c r="M16" s="136">
        <f>$D21*'Escapement Age'!E20</f>
        <v>915.65631306659247</v>
      </c>
      <c r="N16" s="140">
        <v>1998</v>
      </c>
      <c r="O16" s="40">
        <f>D22*'Escapement Age'!F41</f>
        <v>12919.915393267098</v>
      </c>
      <c r="P16" s="140">
        <v>1999</v>
      </c>
      <c r="Q16" s="38">
        <f>D23*'Escapement Age'!G22</f>
        <v>0</v>
      </c>
      <c r="R16" s="140">
        <v>2000</v>
      </c>
      <c r="S16" s="38">
        <f>D24*'Escapement Age'!H23</f>
        <v>0</v>
      </c>
      <c r="U16" s="28"/>
      <c r="V16" s="31">
        <f t="shared" si="4"/>
        <v>10.325816536999801</v>
      </c>
      <c r="W16" s="31">
        <f t="shared" si="5"/>
        <v>37.155239062015347</v>
      </c>
      <c r="X16" s="28"/>
      <c r="Y16" s="28"/>
      <c r="Z16" s="28"/>
    </row>
    <row r="17" spans="1:29">
      <c r="A17" s="27">
        <v>1993</v>
      </c>
      <c r="B17" s="21">
        <f>'Summary Data'!C23</f>
        <v>25018.47288086998</v>
      </c>
      <c r="C17" s="21">
        <f>'Summary Data'!G23</f>
        <v>2456</v>
      </c>
      <c r="D17" s="21">
        <f t="shared" si="0"/>
        <v>27474.47288086998</v>
      </c>
      <c r="E17" s="21">
        <f t="shared" si="1"/>
        <v>43195.902991141869</v>
      </c>
      <c r="F17" s="54">
        <f t="shared" si="2"/>
        <v>1.7265603379081944</v>
      </c>
      <c r="G17" s="54">
        <f t="shared" si="3"/>
        <v>0.54613118534508409</v>
      </c>
      <c r="H17" s="140">
        <v>1996</v>
      </c>
      <c r="I17" s="38">
        <f>D20*'Escapement Age'!B19</f>
        <v>714.5356451291907</v>
      </c>
      <c r="J17" s="140">
        <v>1997</v>
      </c>
      <c r="K17" s="38">
        <f>D21*'Escapement Age'!C20</f>
        <v>4034.6106294496731</v>
      </c>
      <c r="L17" s="138">
        <f>$D22*'Escapement Age'!D41</f>
        <v>16862.558012447873</v>
      </c>
      <c r="M17" s="138">
        <f>$D22*'Escapement Age'!E41</f>
        <v>11411.59949714952</v>
      </c>
      <c r="N17" s="140">
        <v>1999</v>
      </c>
      <c r="O17" s="38">
        <f>D23*'Escapement Age'!F22</f>
        <v>10172.599206965613</v>
      </c>
      <c r="P17" s="140">
        <v>2000</v>
      </c>
      <c r="Q17" s="38">
        <f>D24*'Escapement Age'!G23</f>
        <v>0</v>
      </c>
      <c r="R17" s="140">
        <v>2001</v>
      </c>
      <c r="S17" s="38">
        <f>D25*'Escapement Age'!H24</f>
        <v>0</v>
      </c>
      <c r="U17" s="28"/>
      <c r="V17" s="31">
        <f t="shared" si="4"/>
        <v>25.018472880869979</v>
      </c>
      <c r="W17" s="31">
        <f t="shared" si="5"/>
        <v>43.195902991141871</v>
      </c>
      <c r="X17" s="28"/>
      <c r="Y17" s="28"/>
      <c r="Z17" s="28"/>
    </row>
    <row r="18" spans="1:29">
      <c r="A18" s="27">
        <v>1994</v>
      </c>
      <c r="B18" s="21">
        <f>'Summary Data'!C24</f>
        <v>39710.382989154925</v>
      </c>
      <c r="C18" s="21">
        <f>'Summary Data'!G24</f>
        <v>4841</v>
      </c>
      <c r="D18" s="21">
        <f t="shared" si="0"/>
        <v>44551.382989154925</v>
      </c>
      <c r="E18" s="21">
        <f t="shared" si="1"/>
        <v>66441.588175629397</v>
      </c>
      <c r="F18" s="54">
        <f t="shared" si="2"/>
        <v>1.6731540512660097</v>
      </c>
      <c r="G18" s="54">
        <f t="shared" si="3"/>
        <v>0.51471049861787233</v>
      </c>
      <c r="H18" s="140">
        <v>1997</v>
      </c>
      <c r="I18" s="38">
        <f>D21*'Escapement Age'!B20</f>
        <v>929.96344295825793</v>
      </c>
      <c r="J18" s="140">
        <v>1998</v>
      </c>
      <c r="K18" s="40">
        <f>D22*'Escapement Age'!C41</f>
        <v>8962.1979541017881</v>
      </c>
      <c r="L18" s="136">
        <f>$D23*'Escapement Age'!D22</f>
        <v>56256.007172189231</v>
      </c>
      <c r="M18" s="136">
        <f>$D23*'Escapement Age'!E22</f>
        <v>102.23717795945339</v>
      </c>
      <c r="N18" s="140">
        <v>2000</v>
      </c>
      <c r="O18" s="38">
        <f>D24*'Escapement Age'!F23</f>
        <v>191.18242842066761</v>
      </c>
      <c r="P18" s="140">
        <v>2001</v>
      </c>
      <c r="Q18" s="38">
        <f>D25*'Escapement Age'!G24</f>
        <v>0</v>
      </c>
      <c r="R18" s="140">
        <v>2002</v>
      </c>
      <c r="S18" s="38">
        <f>D26*'Escapement Age'!H25</f>
        <v>0</v>
      </c>
      <c r="U18" s="28"/>
      <c r="V18" s="31">
        <f t="shared" si="4"/>
        <v>39.710382989154922</v>
      </c>
      <c r="W18" s="31">
        <f t="shared" si="5"/>
        <v>66.441588175629391</v>
      </c>
      <c r="X18" s="28"/>
      <c r="Y18" s="28"/>
      <c r="Z18" s="28"/>
    </row>
    <row r="19" spans="1:29">
      <c r="A19" s="27">
        <v>1995</v>
      </c>
      <c r="B19" s="21">
        <f>'Summary Data'!C25</f>
        <v>34797.618320235895</v>
      </c>
      <c r="C19" s="21">
        <f>'Summary Data'!G25</f>
        <v>3614</v>
      </c>
      <c r="D19" s="21">
        <f t="shared" si="0"/>
        <v>38411.618320235895</v>
      </c>
      <c r="E19" s="21">
        <f t="shared" si="1"/>
        <v>4083.4362429383536</v>
      </c>
      <c r="F19" s="54">
        <f t="shared" si="2"/>
        <v>0.1173481531224138</v>
      </c>
      <c r="G19" s="54">
        <f t="shared" si="3"/>
        <v>-2.142610095007385</v>
      </c>
      <c r="H19" s="140">
        <v>1998</v>
      </c>
      <c r="I19" s="40">
        <f>D22*'Escapement Age'!B41</f>
        <v>945.66803716020661</v>
      </c>
      <c r="J19" s="140">
        <v>1999</v>
      </c>
      <c r="K19" s="38">
        <f>D23*'Escapement Age'!C22</f>
        <v>1022.3717795945339</v>
      </c>
      <c r="L19" s="136">
        <f>$D24*'Escapement Age'!D23</f>
        <v>1977.8277416376211</v>
      </c>
      <c r="M19" s="136">
        <f>$D24*'Escapement Age'!E23</f>
        <v>29.587756779389039</v>
      </c>
      <c r="N19" s="140">
        <v>2001</v>
      </c>
      <c r="O19" s="38">
        <f>D25*'Escapement Age'!F24</f>
        <v>72.467805383255538</v>
      </c>
      <c r="P19" s="140">
        <v>2002</v>
      </c>
      <c r="Q19" s="38">
        <f>D26*'Escapement Age'!G25</f>
        <v>35.513122383347827</v>
      </c>
      <c r="R19" s="140">
        <v>2003</v>
      </c>
      <c r="S19" s="38">
        <f>D27*'Escapement Age'!H26</f>
        <v>0</v>
      </c>
      <c r="U19" s="28"/>
      <c r="V19" s="31">
        <f t="shared" si="4"/>
        <v>34.797618320235898</v>
      </c>
      <c r="W19" s="31">
        <f t="shared" si="5"/>
        <v>4.0834362429383537</v>
      </c>
      <c r="X19" s="28"/>
      <c r="Y19" s="28"/>
      <c r="Z19" s="28"/>
    </row>
    <row r="20" spans="1:29">
      <c r="A20" s="27">
        <v>1996</v>
      </c>
      <c r="B20" s="21">
        <f>'Summary Data'!C26</f>
        <v>19209.334767083867</v>
      </c>
      <c r="C20" s="21">
        <f>'Summary Data'!G26</f>
        <v>4415</v>
      </c>
      <c r="D20" s="21">
        <f t="shared" si="0"/>
        <v>23624.334767083867</v>
      </c>
      <c r="E20" s="21">
        <f t="shared" si="1"/>
        <v>6171.5588439475432</v>
      </c>
      <c r="F20" s="54">
        <f t="shared" si="2"/>
        <v>0.32127915509717758</v>
      </c>
      <c r="G20" s="54">
        <f t="shared" si="3"/>
        <v>-1.1354448917243969</v>
      </c>
      <c r="H20" s="140">
        <v>1999</v>
      </c>
      <c r="I20" s="38">
        <f>D23*'Escapement Age'!B22</f>
        <v>153.35576693918009</v>
      </c>
      <c r="J20" s="140">
        <v>2000</v>
      </c>
      <c r="K20" s="38">
        <f>D24*'Escapement Age'!C23</f>
        <v>846.66504014867098</v>
      </c>
      <c r="L20" s="136">
        <f>$D25*'Escapement Age'!D24</f>
        <v>2491.0808100494091</v>
      </c>
      <c r="M20" s="136">
        <f>$D25*'Escapement Age'!E24</f>
        <v>54.350854037441657</v>
      </c>
      <c r="N20" s="140">
        <v>2002</v>
      </c>
      <c r="O20" s="38">
        <f>D26*'Escapement Age'!F25</f>
        <v>2545.1071041399273</v>
      </c>
      <c r="P20" s="140">
        <v>2003</v>
      </c>
      <c r="Q20" s="38">
        <f>D27*'Escapement Age'!G26</f>
        <v>80.999268632914365</v>
      </c>
      <c r="R20" s="140">
        <v>2004</v>
      </c>
      <c r="S20" s="38">
        <f>D28*'Escapement Age'!H27</f>
        <v>0</v>
      </c>
      <c r="U20" s="28"/>
      <c r="V20" s="31">
        <f t="shared" si="4"/>
        <v>19.209334767083867</v>
      </c>
      <c r="W20" s="31">
        <f t="shared" si="5"/>
        <v>6.1715588439475431</v>
      </c>
      <c r="X20" s="28"/>
      <c r="Y20" s="28"/>
      <c r="Z20" s="28"/>
    </row>
    <row r="21" spans="1:29">
      <c r="A21" s="27">
        <v>1997</v>
      </c>
      <c r="B21" s="21">
        <f>'Summary Data'!C27</f>
        <v>28898.406062239013</v>
      </c>
      <c r="C21" s="21">
        <f>'Summary Data'!G27</f>
        <v>3822</v>
      </c>
      <c r="D21" s="21">
        <f t="shared" si="0"/>
        <v>32720.406062239013</v>
      </c>
      <c r="E21" s="21">
        <f t="shared" si="1"/>
        <v>26077.795753549104</v>
      </c>
      <c r="F21" s="54">
        <f t="shared" si="2"/>
        <v>0.902395644153691</v>
      </c>
      <c r="G21" s="54">
        <f t="shared" si="3"/>
        <v>-0.10270222520733836</v>
      </c>
      <c r="H21" s="140">
        <v>2000</v>
      </c>
      <c r="I21" s="38">
        <f>D24*'Escapement Age'!B23</f>
        <v>81.935326466000404</v>
      </c>
      <c r="J21" s="140">
        <v>2001</v>
      </c>
      <c r="K21" s="38">
        <f>D25*'Escapement Age'!C24</f>
        <v>957.17892943716697</v>
      </c>
      <c r="L21" s="136">
        <f>$D26*'Escapement Age'!D25</f>
        <v>2296.5152474564929</v>
      </c>
      <c r="M21" s="136">
        <f>$D26*'Escapement Age'!E25</f>
        <v>10227.779246404172</v>
      </c>
      <c r="N21" s="140">
        <v>2003</v>
      </c>
      <c r="O21" s="38">
        <f>D27*'Escapement Age'!F26</f>
        <v>12514.38700378527</v>
      </c>
      <c r="P21" s="140">
        <v>2004</v>
      </c>
      <c r="Q21" s="38">
        <f>D28*'Escapement Age'!G27</f>
        <v>0</v>
      </c>
      <c r="R21" s="140">
        <v>2005</v>
      </c>
      <c r="S21" s="38">
        <f>D29*'Escapement Age'!H28</f>
        <v>0</v>
      </c>
      <c r="U21" s="28"/>
      <c r="V21" s="31">
        <f t="shared" si="4"/>
        <v>28.898406062239012</v>
      </c>
      <c r="W21" s="31">
        <f t="shared" si="5"/>
        <v>26.077795753549104</v>
      </c>
      <c r="X21" s="28"/>
      <c r="Y21" s="28"/>
      <c r="Z21" s="28"/>
    </row>
    <row r="22" spans="1:29">
      <c r="A22" s="27">
        <v>1998</v>
      </c>
      <c r="B22" s="23">
        <f>'Summary Data'!C28</f>
        <v>45572</v>
      </c>
      <c r="C22" s="21">
        <f>'Summary Data'!G28</f>
        <v>6030</v>
      </c>
      <c r="D22" s="23">
        <f t="shared" si="0"/>
        <v>51602</v>
      </c>
      <c r="E22" s="21">
        <f t="shared" si="1"/>
        <v>80089.997471208815</v>
      </c>
      <c r="F22" s="54">
        <f t="shared" si="2"/>
        <v>1.7574387227071187</v>
      </c>
      <c r="G22" s="54">
        <f t="shared" si="3"/>
        <v>0.56385747792535235</v>
      </c>
      <c r="H22" s="140">
        <v>2001</v>
      </c>
      <c r="I22" s="38">
        <f>D25*'Escapement Age'!B24</f>
        <v>138.89662698457312</v>
      </c>
      <c r="J22" s="140">
        <v>2002</v>
      </c>
      <c r="K22" s="38">
        <f>D26*'Escapement Age'!C25</f>
        <v>10251.454661326405</v>
      </c>
      <c r="L22" s="136">
        <f>$D27*'Escapement Age'!D26</f>
        <v>6601.4403935825212</v>
      </c>
      <c r="M22" s="136">
        <f>$D27*'Escapement Age'!E26</f>
        <v>57266.482923470467</v>
      </c>
      <c r="N22" s="140">
        <v>2004</v>
      </c>
      <c r="O22" s="38">
        <f>D28*'Escapement Age'!F27</f>
        <v>5771.7462109022999</v>
      </c>
      <c r="P22" s="140">
        <v>2005</v>
      </c>
      <c r="Q22" s="38">
        <f>D29*'Escapement Age'!G28</f>
        <v>59.976654942545792</v>
      </c>
      <c r="R22" s="140">
        <v>2006</v>
      </c>
      <c r="S22" s="38">
        <f>D30*'Escapement Age'!H29</f>
        <v>0</v>
      </c>
      <c r="U22" s="28"/>
      <c r="V22" s="31">
        <f t="shared" si="4"/>
        <v>45.572000000000003</v>
      </c>
      <c r="W22" s="31">
        <f t="shared" si="5"/>
        <v>80.089997471208818</v>
      </c>
      <c r="X22" s="28"/>
      <c r="Y22" s="28"/>
      <c r="Z22" s="28"/>
    </row>
    <row r="23" spans="1:29">
      <c r="A23" s="27">
        <v>1999</v>
      </c>
      <c r="B23" s="21">
        <f>'Summary Data'!C29</f>
        <v>57753.571103648006</v>
      </c>
      <c r="C23" s="21">
        <f>'Summary Data'!G29</f>
        <v>9953</v>
      </c>
      <c r="D23" s="21">
        <f t="shared" si="0"/>
        <v>67706.571103648006</v>
      </c>
      <c r="E23" s="21">
        <f t="shared" si="1"/>
        <v>61250.315718877537</v>
      </c>
      <c r="F23" s="54">
        <f t="shared" si="2"/>
        <v>1.0605459463096067</v>
      </c>
      <c r="G23" s="54">
        <f t="shared" si="3"/>
        <v>5.8783819222807891E-2</v>
      </c>
      <c r="H23" s="140">
        <v>2002</v>
      </c>
      <c r="I23" s="38">
        <f>D26*'Escapement Age'!B25</f>
        <v>47.35082984446376</v>
      </c>
      <c r="J23" s="140">
        <v>2003</v>
      </c>
      <c r="K23" s="38">
        <f>D27*'Escapement Age'!C26</f>
        <v>4373.9605061773764</v>
      </c>
      <c r="L23" s="136">
        <f>$D28*'Escapement Age'!D27</f>
        <v>48482.668171579317</v>
      </c>
      <c r="M23" s="136">
        <f>$D28*'Escapement Age'!E27</f>
        <v>2378.6590444930689</v>
      </c>
      <c r="N23" s="140">
        <v>2005</v>
      </c>
      <c r="O23" s="38">
        <f>D29*'Escapement Age'!F28</f>
        <v>5967.6771667833073</v>
      </c>
      <c r="P23" s="140">
        <v>2006</v>
      </c>
      <c r="Q23" s="38">
        <f>D30*'Escapement Age'!G29</f>
        <v>0</v>
      </c>
      <c r="R23" s="140">
        <v>2007</v>
      </c>
      <c r="S23" s="38">
        <f>D31*'Escapement Age'!H30</f>
        <v>0</v>
      </c>
      <c r="U23" s="28"/>
      <c r="V23" s="31">
        <f t="shared" si="4"/>
        <v>57.753571103648007</v>
      </c>
      <c r="W23" s="31">
        <f t="shared" si="5"/>
        <v>61.250315718877538</v>
      </c>
      <c r="X23" s="31"/>
      <c r="Y23" s="28"/>
      <c r="Z23" s="28"/>
      <c r="AA23" s="28"/>
    </row>
    <row r="24" spans="1:29" ht="15" thickBot="1">
      <c r="A24" s="27">
        <v>2000</v>
      </c>
      <c r="B24" s="21">
        <f>'Summary Data'!C30</f>
        <v>3032.1982934523489</v>
      </c>
      <c r="C24" s="21">
        <f>'Summary Data'!G30</f>
        <v>95</v>
      </c>
      <c r="D24" s="21">
        <f t="shared" si="0"/>
        <v>3127.1982934523489</v>
      </c>
      <c r="E24" s="21">
        <f t="shared" si="1"/>
        <v>88659.475628599816</v>
      </c>
      <c r="F24" s="54">
        <f t="shared" si="2"/>
        <v>29.239339597297711</v>
      </c>
      <c r="G24" s="54">
        <f t="shared" si="3"/>
        <v>3.3755150490347861</v>
      </c>
      <c r="H24" s="140">
        <v>2003</v>
      </c>
      <c r="I24" s="38">
        <f>D27*'Escapement Age'!B26</f>
        <v>40.499634316457183</v>
      </c>
      <c r="J24" s="140">
        <v>2004</v>
      </c>
      <c r="K24" s="38">
        <f>D28*'Escapement Age'!C27</f>
        <v>31552.212619599242</v>
      </c>
      <c r="L24" s="136">
        <f>$D29*'Escapement Age'!D28</f>
        <v>31997.545411848183</v>
      </c>
      <c r="M24" s="136">
        <f>$D29*'Escapement Age'!E28</f>
        <v>12864.992485176073</v>
      </c>
      <c r="N24" s="140">
        <v>2006</v>
      </c>
      <c r="O24" s="38">
        <f>D30*'Escapement Age'!F29</f>
        <v>12027.387335986794</v>
      </c>
      <c r="P24" s="140">
        <v>2007</v>
      </c>
      <c r="Q24" s="38">
        <f>D31*'Escapement Age'!G30</f>
        <v>176.83814167307321</v>
      </c>
      <c r="R24" s="140">
        <v>2008</v>
      </c>
      <c r="S24" s="38">
        <f>D32*'Escapement Age'!H31</f>
        <v>0</v>
      </c>
      <c r="U24" s="28"/>
      <c r="V24" s="31">
        <f t="shared" si="4"/>
        <v>3.0321982934523488</v>
      </c>
      <c r="W24" s="31">
        <f t="shared" si="5"/>
        <v>88.659475628599822</v>
      </c>
      <c r="X24" s="31"/>
      <c r="Y24" s="28"/>
      <c r="Z24" s="77"/>
      <c r="AA24" s="70" t="s">
        <v>79</v>
      </c>
      <c r="AB24" s="74"/>
      <c r="AC24" s="77"/>
    </row>
    <row r="25" spans="1:29">
      <c r="A25" s="27">
        <v>2001</v>
      </c>
      <c r="B25" s="21">
        <f>'Summary Data'!C31</f>
        <v>3666.9945177828154</v>
      </c>
      <c r="C25" s="21">
        <f>'Summary Data'!G31</f>
        <v>50</v>
      </c>
      <c r="D25" s="21">
        <f t="shared" si="0"/>
        <v>3716.9945177828154</v>
      </c>
      <c r="E25" s="21">
        <f t="shared" si="1"/>
        <v>73815.663417154137</v>
      </c>
      <c r="F25" s="54">
        <f t="shared" si="2"/>
        <v>20.129744688515515</v>
      </c>
      <c r="G25" s="54">
        <f t="shared" si="3"/>
        <v>3.0021985564374143</v>
      </c>
      <c r="H25" s="140">
        <v>2004</v>
      </c>
      <c r="I25" s="38">
        <f>D28*'Escapement Age'!B27</f>
        <v>979.44784185008734</v>
      </c>
      <c r="J25" s="140">
        <v>2005</v>
      </c>
      <c r="K25" s="38">
        <f>D29*'Escapement Age'!C28</f>
        <v>18652.739687131743</v>
      </c>
      <c r="L25" s="136">
        <f>$D30*'Escapement Age'!D29</f>
        <v>24054.774671973588</v>
      </c>
      <c r="M25" s="136">
        <f>$D30*'Escapement Age'!E29</f>
        <v>19293.933851478814</v>
      </c>
      <c r="N25" s="140">
        <v>2007</v>
      </c>
      <c r="O25" s="38">
        <f>D31*'Escapement Age'!F30</f>
        <v>10787.126642057465</v>
      </c>
      <c r="P25" s="140">
        <v>2008</v>
      </c>
      <c r="Q25" s="38">
        <f>D32*'Escapement Age'!G31</f>
        <v>47.640722662436126</v>
      </c>
      <c r="R25" s="140">
        <v>2009</v>
      </c>
      <c r="S25" s="38">
        <f>D33*'Escapement Age'!H32</f>
        <v>0</v>
      </c>
      <c r="U25" s="28"/>
      <c r="V25" s="31">
        <f t="shared" si="4"/>
        <v>3.6669945177828152</v>
      </c>
      <c r="W25" s="31">
        <f t="shared" si="5"/>
        <v>73.815663417154141</v>
      </c>
      <c r="X25" s="31"/>
      <c r="Y25" s="28"/>
      <c r="Z25" s="71" t="s">
        <v>80</v>
      </c>
      <c r="AA25" s="79">
        <f t="array" ref="AA25:AB29">LINEST(G6:G34,B6:B34,1,1)</f>
        <v>-4.0810820808763559E-5</v>
      </c>
      <c r="AB25" s="76">
        <v>1.7067962529343617</v>
      </c>
      <c r="AC25" s="77" t="s">
        <v>81</v>
      </c>
    </row>
    <row r="26" spans="1:29">
      <c r="A26" s="27">
        <v>2002</v>
      </c>
      <c r="B26" s="21">
        <f>'Summary Data'!C32</f>
        <v>23987.72021155481</v>
      </c>
      <c r="C26" s="21">
        <f>'Summary Data'!G32</f>
        <v>1416</v>
      </c>
      <c r="D26" s="21">
        <f t="shared" si="0"/>
        <v>25403.72021155481</v>
      </c>
      <c r="E26" s="21">
        <f t="shared" si="1"/>
        <v>139792.77202159481</v>
      </c>
      <c r="F26" s="54">
        <f t="shared" si="2"/>
        <v>5.8276806127769101</v>
      </c>
      <c r="G26" s="54">
        <f t="shared" si="3"/>
        <v>1.7626190846310072</v>
      </c>
      <c r="H26" s="140">
        <v>2005</v>
      </c>
      <c r="I26" s="38">
        <f>D29*'Escapement Age'!B28</f>
        <v>1409.4513911498261</v>
      </c>
      <c r="J26" s="140">
        <v>2006</v>
      </c>
      <c r="K26" s="38">
        <f>D30*'Escapement Age'!C29</f>
        <v>70159.759459922963</v>
      </c>
      <c r="L26" s="136">
        <f>$D31*'Escapement Age'!D30</f>
        <v>62954.37843561406</v>
      </c>
      <c r="M26" s="136">
        <f>$D31*'Escapement Age'!E30</f>
        <v>3006.248408442244</v>
      </c>
      <c r="N26" s="140">
        <v>2008</v>
      </c>
      <c r="O26" s="38">
        <f>D32*'Escapement Age'!F31</f>
        <v>2262.9343264657159</v>
      </c>
      <c r="P26" s="140">
        <v>2009</v>
      </c>
      <c r="Q26" s="38">
        <f>D33*'Escapement Age'!G32</f>
        <v>0</v>
      </c>
      <c r="R26" s="140">
        <v>2010</v>
      </c>
      <c r="S26" s="38">
        <f>D34*'Escapement Age'!H33</f>
        <v>0</v>
      </c>
      <c r="U26" s="28"/>
      <c r="V26" s="31">
        <f t="shared" si="4"/>
        <v>23.987720211554809</v>
      </c>
      <c r="W26" s="31">
        <f t="shared" si="5"/>
        <v>139.7927720215948</v>
      </c>
      <c r="X26" s="31"/>
      <c r="Y26" s="28"/>
      <c r="Z26" s="71" t="s">
        <v>82</v>
      </c>
      <c r="AA26" s="73">
        <v>7.0589575176224765E-6</v>
      </c>
      <c r="AB26" s="81">
        <v>0.29525281751651117</v>
      </c>
      <c r="AC26" s="77" t="s">
        <v>82</v>
      </c>
    </row>
    <row r="27" spans="1:29">
      <c r="A27" s="27">
        <v>2003</v>
      </c>
      <c r="B27" s="21">
        <f>'Summary Data'!C33</f>
        <v>69892.769729965003</v>
      </c>
      <c r="C27" s="21">
        <f>'Summary Data'!G33</f>
        <v>10985</v>
      </c>
      <c r="D27" s="21">
        <f t="shared" si="0"/>
        <v>80877.769729965003</v>
      </c>
      <c r="E27" s="21">
        <f t="shared" si="1"/>
        <v>11707.932891700406</v>
      </c>
      <c r="F27" s="54">
        <f t="shared" si="2"/>
        <v>0.16751279047796677</v>
      </c>
      <c r="G27" s="54">
        <f t="shared" si="3"/>
        <v>-1.7866955695698852</v>
      </c>
      <c r="H27" s="140">
        <v>2006</v>
      </c>
      <c r="I27" s="38">
        <f>D30*'Escapement Age'!B29</f>
        <v>0</v>
      </c>
      <c r="J27" s="140">
        <v>2007</v>
      </c>
      <c r="K27" s="38">
        <f>D31*'Escapement Age'!C30</f>
        <v>4597.7916834999032</v>
      </c>
      <c r="L27" s="136">
        <f>$D32*'Escapement Age'!D31</f>
        <v>6312.3957527727862</v>
      </c>
      <c r="M27" s="136">
        <f>$D32*'Escapement Age'!E31</f>
        <v>404.94614263070707</v>
      </c>
      <c r="N27" s="140">
        <v>2009</v>
      </c>
      <c r="O27" s="38">
        <f>D33*'Escapement Age'!F32</f>
        <v>392.79931279700816</v>
      </c>
      <c r="P27" s="140">
        <v>2010</v>
      </c>
      <c r="Q27" s="38">
        <f>D34*'Escapement Age'!G33</f>
        <v>0</v>
      </c>
      <c r="R27" s="140">
        <v>2011</v>
      </c>
      <c r="S27" s="38">
        <f>D35*'Escapement Age'!H34</f>
        <v>0</v>
      </c>
      <c r="U27" s="28"/>
      <c r="V27" s="31">
        <f>B27/1000</f>
        <v>69.892769729964996</v>
      </c>
      <c r="W27" s="31">
        <f>E27/1000</f>
        <v>11.707932891700406</v>
      </c>
      <c r="X27" s="31"/>
      <c r="Y27" s="28"/>
      <c r="Z27" s="71" t="s">
        <v>83</v>
      </c>
      <c r="AA27" s="78">
        <v>0.55316400322181358</v>
      </c>
      <c r="AB27" s="81">
        <v>1.0383590715884843</v>
      </c>
      <c r="AC27" s="77" t="s">
        <v>84</v>
      </c>
    </row>
    <row r="28" spans="1:29">
      <c r="A28" s="27">
        <v>2004</v>
      </c>
      <c r="B28" s="21">
        <f>'Summary Data'!C34</f>
        <v>77262.733888424016</v>
      </c>
      <c r="C28" s="21">
        <f>'Summary Data'!G34</f>
        <v>11902</v>
      </c>
      <c r="D28" s="21">
        <f t="shared" si="0"/>
        <v>89164.733888424016</v>
      </c>
      <c r="E28" s="21">
        <f t="shared" si="1"/>
        <v>16098.903895228344</v>
      </c>
      <c r="F28" s="54">
        <f t="shared" si="2"/>
        <v>0.20836570342536614</v>
      </c>
      <c r="G28" s="54">
        <f t="shared" si="3"/>
        <v>-1.5684605535417568</v>
      </c>
      <c r="H28" s="140">
        <v>2007</v>
      </c>
      <c r="I28" s="38">
        <f>D31*'Escapement Age'!B30</f>
        <v>0</v>
      </c>
      <c r="J28" s="140">
        <v>2008</v>
      </c>
      <c r="K28" s="38">
        <f>D32*'Escapement Age'!C31</f>
        <v>1691.2456545164825</v>
      </c>
      <c r="L28" s="136">
        <f>$D33*'Escapement Age'!D32</f>
        <v>5650.2670379261945</v>
      </c>
      <c r="M28" s="136">
        <f>$D33*'Escapement Age'!E32</f>
        <v>5499.1903791581144</v>
      </c>
      <c r="N28" s="140">
        <v>2010</v>
      </c>
      <c r="O28" s="38">
        <f>D34*'Escapement Age'!F33</f>
        <v>3258.2008236275524</v>
      </c>
      <c r="P28" s="140">
        <v>2011</v>
      </c>
      <c r="Q28" s="38">
        <f>D35*'Escapement Age'!G34</f>
        <v>0</v>
      </c>
      <c r="R28" s="140">
        <v>2012</v>
      </c>
      <c r="S28" s="38">
        <f>D36*'Escapement Age'!H35</f>
        <v>0</v>
      </c>
      <c r="V28" s="31">
        <f t="shared" ref="V28" si="6">B28/1000</f>
        <v>77.262733888424023</v>
      </c>
      <c r="W28" s="31">
        <f t="shared" ref="W28" si="7">E28/1000</f>
        <v>16.098903895228343</v>
      </c>
      <c r="X28" s="31"/>
      <c r="Z28" s="71" t="s">
        <v>85</v>
      </c>
      <c r="AA28" s="78">
        <v>33.424854297052185</v>
      </c>
      <c r="AB28" s="75">
        <v>27</v>
      </c>
      <c r="AC28" s="77" t="s">
        <v>86</v>
      </c>
    </row>
    <row r="29" spans="1:29" ht="15" thickBot="1">
      <c r="A29" s="27">
        <v>2005</v>
      </c>
      <c r="B29" s="21">
        <f>'Summary Data'!C35</f>
        <v>65653.382797031678</v>
      </c>
      <c r="C29" s="21">
        <f>'Summary Data'!G35</f>
        <v>5299</v>
      </c>
      <c r="D29" s="21">
        <f t="shared" si="0"/>
        <v>70952.382797031678</v>
      </c>
      <c r="E29" s="21">
        <f t="shared" si="1"/>
        <v>9512.4971289126806</v>
      </c>
      <c r="F29" s="54">
        <f t="shared" si="2"/>
        <v>0.14488967245329451</v>
      </c>
      <c r="G29" s="54">
        <f t="shared" si="3"/>
        <v>-1.9317827058098398</v>
      </c>
      <c r="H29" s="140">
        <v>2008</v>
      </c>
      <c r="I29" s="38">
        <f>D32*'Escapement Age'!B31</f>
        <v>23.820361331218063</v>
      </c>
      <c r="J29" s="140">
        <v>2009</v>
      </c>
      <c r="K29" s="38">
        <f>D33*'Escapement Age'!C32</f>
        <v>1571.1972511880326</v>
      </c>
      <c r="L29" s="136">
        <f>$D34*'Escapement Age'!D33</f>
        <v>1823.040937029702</v>
      </c>
      <c r="M29" s="136">
        <f>$D34*'Escapement Age'!E33</f>
        <v>2676.3792479797753</v>
      </c>
      <c r="N29" s="140">
        <v>2011</v>
      </c>
      <c r="O29" s="38">
        <f>D35*'Escapement Age'!F34</f>
        <v>3418.0593313839527</v>
      </c>
      <c r="P29" s="140">
        <v>2012</v>
      </c>
      <c r="Q29" s="38">
        <f>D36*'Escapement Age'!G35</f>
        <v>0</v>
      </c>
      <c r="R29" s="140">
        <v>2013</v>
      </c>
      <c r="S29" s="38">
        <f>D37*'Escapement Age'!H36</f>
        <v>0</v>
      </c>
      <c r="V29" s="31">
        <f t="shared" ref="V29:V30" si="8">B29/1000</f>
        <v>65.653382797031682</v>
      </c>
      <c r="W29" s="31">
        <f t="shared" ref="W29:W30" si="9">E29/1000</f>
        <v>9.5124971289126812</v>
      </c>
      <c r="X29" s="27"/>
      <c r="Z29" s="71" t="s">
        <v>87</v>
      </c>
      <c r="AA29" s="72">
        <v>36.038328999414645</v>
      </c>
      <c r="AB29" s="80">
        <v>29.111118161852676</v>
      </c>
      <c r="AC29" s="77" t="s">
        <v>88</v>
      </c>
    </row>
    <row r="30" spans="1:29">
      <c r="A30" s="27">
        <v>2006</v>
      </c>
      <c r="B30" s="21">
        <f>'Summary Data'!C36</f>
        <v>103952.85531936215</v>
      </c>
      <c r="C30" s="21">
        <f>'Summary Data'!G36</f>
        <v>21583</v>
      </c>
      <c r="D30" s="21">
        <f t="shared" si="0"/>
        <v>125535.85531936215</v>
      </c>
      <c r="E30" s="21">
        <f t="shared" si="1"/>
        <v>28263.320895952442</v>
      </c>
      <c r="F30" s="54">
        <f t="shared" si="2"/>
        <v>0.27188595069488336</v>
      </c>
      <c r="G30" s="54">
        <f t="shared" si="3"/>
        <v>-1.3023725995323805</v>
      </c>
      <c r="H30" s="140">
        <v>2009</v>
      </c>
      <c r="I30" s="38">
        <f>D33*'Escapement Age'!B32</f>
        <v>604.30663507232032</v>
      </c>
      <c r="J30" s="140">
        <v>2010</v>
      </c>
      <c r="K30" s="38">
        <f>D34*'Escapement Age'!C33</f>
        <v>11054.609937307767</v>
      </c>
      <c r="L30" s="136">
        <f>$D35*'Escapement Age'!D34</f>
        <v>12793.307783179936</v>
      </c>
      <c r="M30" s="136">
        <f>$D35*'Escapement Age'!E34</f>
        <v>1904.3473417710591</v>
      </c>
      <c r="N30" s="140">
        <v>2012</v>
      </c>
      <c r="O30" s="38">
        <f>D36*'Escapement Age'!F35</f>
        <v>1906.7491986213618</v>
      </c>
      <c r="P30" s="140">
        <v>2013</v>
      </c>
      <c r="Q30" s="38">
        <f>D37*'Escapement Age'!G36</f>
        <v>0</v>
      </c>
      <c r="R30" s="140">
        <v>2014</v>
      </c>
      <c r="S30" s="38">
        <f>D38*'Escapement Age'!H37</f>
        <v>0</v>
      </c>
      <c r="V30" s="31">
        <f t="shared" si="8"/>
        <v>103.95285531936214</v>
      </c>
      <c r="W30" s="31">
        <f t="shared" si="9"/>
        <v>28.263320895952443</v>
      </c>
      <c r="X30" s="27"/>
      <c r="Z30" s="74"/>
      <c r="AA30" s="69"/>
      <c r="AB30" s="74"/>
      <c r="AC30" s="74"/>
    </row>
    <row r="31" spans="1:29">
      <c r="A31" s="27">
        <v>2007</v>
      </c>
      <c r="B31" s="21">
        <f>'Summary Data'!C37</f>
        <v>66938.383311286743</v>
      </c>
      <c r="C31" s="21">
        <f>'Summary Data'!G37</f>
        <v>14584</v>
      </c>
      <c r="D31" s="21">
        <f t="shared" si="0"/>
        <v>81522.383311286743</v>
      </c>
      <c r="E31" s="21">
        <f t="shared" si="1"/>
        <v>29227.86599466917</v>
      </c>
      <c r="F31" s="54">
        <f t="shared" si="2"/>
        <v>0.43663836126351357</v>
      </c>
      <c r="G31" s="54">
        <f t="shared" si="3"/>
        <v>-0.82864997508999427</v>
      </c>
      <c r="H31" s="140">
        <v>2010</v>
      </c>
      <c r="I31" s="38">
        <f>D34*'Escapement Age'!B33</f>
        <v>0</v>
      </c>
      <c r="J31" s="140">
        <v>2011</v>
      </c>
      <c r="K31" s="38">
        <f>D35*'Escapement Age'!C34</f>
        <v>3418.0593313839527</v>
      </c>
      <c r="L31" s="136">
        <f>$D36*'Escapement Age'!D35</f>
        <v>1668.4055487936917</v>
      </c>
      <c r="M31" s="136">
        <f>$D36*'Escapement Age'!E35</f>
        <v>14777.306289315553</v>
      </c>
      <c r="N31" s="140">
        <v>2013</v>
      </c>
      <c r="O31" s="38">
        <f>D37*'Escapement Age'!F36</f>
        <v>9282.3415466850911</v>
      </c>
      <c r="P31" s="140">
        <v>2014</v>
      </c>
      <c r="Q31" s="38">
        <f>D38*'Escapement Age'!G37</f>
        <v>81.753278490877236</v>
      </c>
      <c r="R31" s="140">
        <v>2015</v>
      </c>
      <c r="S31" s="38">
        <f>D39*'Escapement Age'!H38</f>
        <v>0</v>
      </c>
      <c r="V31" s="31">
        <f t="shared" ref="V31:V33" si="10">B31/1000</f>
        <v>66.938383311286742</v>
      </c>
      <c r="W31" s="31">
        <f t="shared" ref="W31:W33" si="11">E31/1000</f>
        <v>29.22786599466917</v>
      </c>
    </row>
    <row r="32" spans="1:29">
      <c r="A32" s="27">
        <v>2008</v>
      </c>
      <c r="B32" s="21">
        <f>'Summary Data'!C38</f>
        <v>10063.982960379346</v>
      </c>
      <c r="C32" s="21">
        <f>'Summary Data'!G38</f>
        <v>679</v>
      </c>
      <c r="D32" s="21">
        <f t="shared" si="0"/>
        <v>10742.982960379346</v>
      </c>
      <c r="E32" s="21">
        <f t="shared" si="1"/>
        <v>66083.292494356632</v>
      </c>
      <c r="F32" s="54">
        <f t="shared" si="2"/>
        <v>6.5663160156886562</v>
      </c>
      <c r="G32" s="54">
        <f t="shared" si="3"/>
        <v>1.8819529470239829</v>
      </c>
      <c r="H32" s="140">
        <v>2011</v>
      </c>
      <c r="I32" s="38">
        <f>D35*'Escapement Age'!B34</f>
        <v>2587.9592080478496</v>
      </c>
      <c r="J32" s="140">
        <v>2012</v>
      </c>
      <c r="K32" s="38">
        <f>D36*'Escapement Age'!C35</f>
        <v>23596.021332939352</v>
      </c>
      <c r="L32" s="136">
        <f>$D37*'Escapement Age'!D36</f>
        <v>11356.056147540272</v>
      </c>
      <c r="M32" s="136">
        <f>$D37*'Escapement Age'!E36</f>
        <v>24292.085324303534</v>
      </c>
      <c r="N32" s="140">
        <v>2014</v>
      </c>
      <c r="O32" s="38">
        <f>D38*'Escapement Age'!F37</f>
        <v>4251.1704815256162</v>
      </c>
      <c r="P32" s="140">
        <v>2015</v>
      </c>
      <c r="Q32" s="38">
        <f>D39*'Escapement Age'!G38</f>
        <v>0</v>
      </c>
      <c r="R32" s="140">
        <v>2016</v>
      </c>
      <c r="S32" s="38">
        <f>D40*'Escapement Age'!H39</f>
        <v>0</v>
      </c>
      <c r="V32" s="31">
        <f t="shared" si="10"/>
        <v>10.063982960379345</v>
      </c>
      <c r="W32" s="31">
        <f t="shared" si="11"/>
        <v>66.083292494356627</v>
      </c>
      <c r="Z32" s="83" t="s">
        <v>98</v>
      </c>
      <c r="AA32" s="85">
        <f>AB25</f>
        <v>1.7067962529343617</v>
      </c>
    </row>
    <row r="33" spans="1:27">
      <c r="A33" s="27">
        <v>2009</v>
      </c>
      <c r="B33" s="21">
        <f>'Summary Data'!C39</f>
        <v>12568.76061614167</v>
      </c>
      <c r="C33" s="21">
        <f>'Summary Data'!G39</f>
        <v>1149</v>
      </c>
      <c r="D33" s="21">
        <f t="shared" si="0"/>
        <v>13717.76061614167</v>
      </c>
      <c r="E33" s="21">
        <f t="shared" si="1"/>
        <v>22923.693659692872</v>
      </c>
      <c r="F33" s="54">
        <f t="shared" si="2"/>
        <v>1.8238626989404734</v>
      </c>
      <c r="G33" s="54">
        <f t="shared" si="3"/>
        <v>0.6009566141151691</v>
      </c>
      <c r="H33" s="140">
        <v>2012</v>
      </c>
      <c r="I33" s="38">
        <f>D36*'Escapement Age'!B35</f>
        <v>3972.3941637945036</v>
      </c>
      <c r="J33" s="140">
        <v>2013</v>
      </c>
      <c r="K33" s="38">
        <f>D37*'Escapement Age'!C36</f>
        <v>9973.5797469701502</v>
      </c>
      <c r="L33" s="136">
        <f>$D38*'Escapement Age'!D37</f>
        <v>8420.5876845603561</v>
      </c>
      <c r="M33" s="136">
        <f>$D38*'Escapement Age'!E37</f>
        <v>408.76639245438622</v>
      </c>
      <c r="N33" s="140">
        <v>2015</v>
      </c>
      <c r="O33" s="38">
        <f>D39*'Escapement Age'!F38</f>
        <v>148.36567191347476</v>
      </c>
      <c r="P33" s="140">
        <v>2016</v>
      </c>
      <c r="Q33" s="38">
        <f>D40*'Escapement Age'!G39</f>
        <v>0</v>
      </c>
      <c r="R33" s="140">
        <v>2017</v>
      </c>
      <c r="S33" s="38"/>
      <c r="V33" s="31">
        <f t="shared" si="10"/>
        <v>12.56876061614167</v>
      </c>
      <c r="W33" s="31">
        <f t="shared" si="11"/>
        <v>22.923693659692873</v>
      </c>
      <c r="Z33" s="83" t="s">
        <v>90</v>
      </c>
      <c r="AA33" s="86">
        <f>-AA25</f>
        <v>4.0810820808763559E-5</v>
      </c>
    </row>
    <row r="34" spans="1:27">
      <c r="A34" s="27">
        <v>2010</v>
      </c>
      <c r="B34" s="21">
        <f>'Summary Data'!C40</f>
        <v>17156.230945944797</v>
      </c>
      <c r="C34" s="21">
        <f>'Summary Data'!G40</f>
        <v>1656</v>
      </c>
      <c r="D34" s="21">
        <f t="shared" si="0"/>
        <v>18812.230945944797</v>
      </c>
      <c r="E34" s="21">
        <f t="shared" si="1"/>
        <v>14945.576886094948</v>
      </c>
      <c r="F34" s="54">
        <f t="shared" ref="F34" si="12">E34/B34</f>
        <v>0.87114570404099279</v>
      </c>
      <c r="G34" s="54">
        <f t="shared" ref="G34" si="13">LN(F34)</f>
        <v>-0.13794603249082674</v>
      </c>
      <c r="H34" s="140">
        <v>2013</v>
      </c>
      <c r="I34" s="38">
        <f>D37*'Escapement Age'!B36</f>
        <v>1876.2179722023054</v>
      </c>
      <c r="J34" s="140">
        <v>2014</v>
      </c>
      <c r="K34" s="38">
        <f>D38*'Escapement Age'!C37</f>
        <v>5559.2229373796526</v>
      </c>
      <c r="L34" s="136">
        <f>$D39*'Escapement Age'!D38</f>
        <v>3560.7761259233939</v>
      </c>
      <c r="M34" s="136">
        <f>$D39*'Escapement Age'!E38</f>
        <v>3264.0447820964441</v>
      </c>
      <c r="N34" s="140">
        <v>2016</v>
      </c>
      <c r="O34" s="38">
        <f>D40*'Escapement Age'!F39</f>
        <v>685.31506849315065</v>
      </c>
      <c r="P34" s="140">
        <v>2017</v>
      </c>
      <c r="Q34" s="38"/>
      <c r="R34" s="140">
        <v>2018</v>
      </c>
      <c r="S34" s="38"/>
      <c r="V34" s="31">
        <f t="shared" ref="V34" si="14">B34/1000</f>
        <v>17.156230945944795</v>
      </c>
      <c r="W34" s="31">
        <f t="shared" ref="W34" si="15">E34/1000</f>
        <v>14.945576886094948</v>
      </c>
      <c r="Z34" s="83" t="s">
        <v>91</v>
      </c>
      <c r="AA34" s="85">
        <f>AB27</f>
        <v>1.0383590715884843</v>
      </c>
    </row>
    <row r="35" spans="1:27">
      <c r="A35" s="27">
        <v>2011</v>
      </c>
      <c r="B35" s="21">
        <f>'Summary Data'!C41</f>
        <v>22719.73299576675</v>
      </c>
      <c r="C35" s="21">
        <f>'Summary Data'!G41</f>
        <v>1402</v>
      </c>
      <c r="D35" s="21">
        <f t="shared" si="0"/>
        <v>24121.73299576675</v>
      </c>
      <c r="E35" s="55" t="s">
        <v>70</v>
      </c>
      <c r="H35" s="140">
        <v>2014</v>
      </c>
      <c r="I35" s="38">
        <f>D38*'Escapement Age'!B37</f>
        <v>3106.6245826533345</v>
      </c>
      <c r="J35" s="140">
        <v>2015</v>
      </c>
      <c r="K35" s="38">
        <f>D39*'Escapement Age'!C38</f>
        <v>5934.6268765389896</v>
      </c>
      <c r="L35" s="136">
        <f>$D40*'Escapement Age'!D39</f>
        <v>2349.6516634050881</v>
      </c>
      <c r="M35" s="136">
        <f>$D40*'Escapement Age'!E39</f>
        <v>6706.2974559686882</v>
      </c>
      <c r="N35" s="140">
        <v>2017</v>
      </c>
      <c r="O35" s="38"/>
      <c r="P35" s="140">
        <v>2018</v>
      </c>
      <c r="Q35" s="38"/>
      <c r="R35" s="140">
        <v>2019</v>
      </c>
      <c r="S35" s="38"/>
      <c r="Z35" s="83" t="s">
        <v>92</v>
      </c>
      <c r="AA35" s="85">
        <f>AA32+AA34^2/2</f>
        <v>2.2458910337094111</v>
      </c>
    </row>
    <row r="36" spans="1:27">
      <c r="A36" s="27">
        <v>2012</v>
      </c>
      <c r="B36" s="21">
        <f>'Summary Data'!C42</f>
        <v>40943.876533464463</v>
      </c>
      <c r="C36" s="21">
        <f>'Summary Data'!G42</f>
        <v>4977</v>
      </c>
      <c r="D36" s="21">
        <f t="shared" si="0"/>
        <v>45920.876533464463</v>
      </c>
      <c r="E36" s="55" t="s">
        <v>70</v>
      </c>
      <c r="H36" s="140">
        <v>2015</v>
      </c>
      <c r="I36" s="38">
        <f>D39*'Escapement Age'!B38</f>
        <v>1594.9309730698535</v>
      </c>
      <c r="J36" s="140">
        <v>2016</v>
      </c>
      <c r="K36" s="38">
        <f>D40*'Escapement Age'!C39</f>
        <v>14587.420743639921</v>
      </c>
      <c r="L36" s="39"/>
      <c r="M36" s="38"/>
      <c r="N36" s="140">
        <v>2018</v>
      </c>
      <c r="O36" s="38"/>
      <c r="P36" s="140">
        <v>2019</v>
      </c>
      <c r="Q36" s="38"/>
      <c r="R36" s="140">
        <v>2020</v>
      </c>
      <c r="S36" s="38"/>
      <c r="V36" s="64"/>
      <c r="W36" s="64"/>
      <c r="X36" s="29"/>
      <c r="Y36" s="29"/>
      <c r="Z36" s="84" t="s">
        <v>93</v>
      </c>
      <c r="AA36" s="21">
        <f>1/AA33</f>
        <v>24503.305255386185</v>
      </c>
    </row>
    <row r="37" spans="1:27">
      <c r="A37" s="27">
        <v>2013</v>
      </c>
      <c r="B37" s="21">
        <f>'Summary Data'!C43</f>
        <v>49124.280737701352</v>
      </c>
      <c r="C37" s="21">
        <f>'Summary Data'!G43</f>
        <v>7656</v>
      </c>
      <c r="D37" s="21">
        <f t="shared" si="0"/>
        <v>56780.280737701352</v>
      </c>
      <c r="E37" s="55" t="s">
        <v>70</v>
      </c>
      <c r="H37" s="140">
        <v>2016</v>
      </c>
      <c r="I37" s="38">
        <f>D40*'Escapement Age'!B39</f>
        <v>685.31506849315065</v>
      </c>
      <c r="J37" s="140">
        <v>2017</v>
      </c>
      <c r="K37" s="38"/>
      <c r="L37" s="39"/>
      <c r="M37" s="38"/>
      <c r="N37" s="140">
        <v>2019</v>
      </c>
      <c r="O37" s="38"/>
      <c r="P37" s="140">
        <v>2020</v>
      </c>
      <c r="Q37" s="38"/>
      <c r="R37" s="140">
        <v>2021</v>
      </c>
      <c r="S37" s="38"/>
      <c r="V37" s="64"/>
      <c r="W37" s="64"/>
      <c r="X37" s="29"/>
      <c r="Y37" s="29"/>
      <c r="Z37" s="84" t="s">
        <v>94</v>
      </c>
      <c r="AA37" s="21">
        <f>AA35/AA33</f>
        <v>55031.753569316526</v>
      </c>
    </row>
    <row r="38" spans="1:27">
      <c r="A38" s="27">
        <v>2014</v>
      </c>
      <c r="B38" s="21">
        <f>'Summary Data'!C44</f>
        <v>19936.125357064222</v>
      </c>
      <c r="C38" s="21">
        <f>'Summary Data'!G44</f>
        <v>1892</v>
      </c>
      <c r="D38" s="21">
        <f t="shared" si="0"/>
        <v>21828.125357064222</v>
      </c>
      <c r="E38" s="55"/>
      <c r="H38" s="140">
        <v>2017</v>
      </c>
      <c r="I38" s="41"/>
      <c r="J38" s="140">
        <v>2018</v>
      </c>
      <c r="K38" s="38"/>
      <c r="L38" s="39"/>
      <c r="M38" s="38"/>
      <c r="N38" s="140">
        <v>2020</v>
      </c>
      <c r="O38" s="38"/>
      <c r="P38" s="140">
        <v>2021</v>
      </c>
      <c r="Q38" s="38"/>
      <c r="R38" s="140">
        <v>2022</v>
      </c>
      <c r="S38" s="38"/>
      <c r="V38" s="64"/>
      <c r="W38" s="64"/>
      <c r="X38" s="29"/>
      <c r="Y38" s="29"/>
      <c r="Z38" s="83" t="s">
        <v>95</v>
      </c>
      <c r="AA38" s="21">
        <f>AA37*(0.5-0.07*AA35)</f>
        <v>18864.204250913892</v>
      </c>
    </row>
    <row r="39" spans="1:27">
      <c r="A39" s="27">
        <v>2015</v>
      </c>
      <c r="B39" s="21">
        <f>'Summary Data'!C45</f>
        <v>13982.744429542156</v>
      </c>
      <c r="C39" s="21">
        <f>'Summary Data'!G45</f>
        <v>520</v>
      </c>
      <c r="D39" s="21">
        <f t="shared" si="0"/>
        <v>14502.744429542156</v>
      </c>
      <c r="E39" s="55"/>
      <c r="H39" s="140">
        <v>2018</v>
      </c>
      <c r="I39" s="41"/>
      <c r="J39" s="140">
        <v>2019</v>
      </c>
      <c r="K39" s="38"/>
      <c r="L39" s="39"/>
      <c r="M39" s="38"/>
      <c r="N39" s="140">
        <v>2021</v>
      </c>
      <c r="O39" s="38"/>
      <c r="P39" s="140">
        <v>2022</v>
      </c>
      <c r="Q39" s="38"/>
      <c r="R39" s="140">
        <v>2023</v>
      </c>
      <c r="S39" s="38"/>
      <c r="V39" s="64"/>
      <c r="W39" s="64"/>
      <c r="X39" s="29"/>
      <c r="Y39" s="29"/>
      <c r="Z39" s="83" t="s">
        <v>96</v>
      </c>
      <c r="AA39" s="28">
        <f>AA35*(0.5-0.07*AA35)</f>
        <v>0.76986365938396262</v>
      </c>
    </row>
    <row r="40" spans="1:27">
      <c r="A40" s="27">
        <v>2016</v>
      </c>
      <c r="B40" s="21">
        <f>'Summary Data'!C46</f>
        <v>22774</v>
      </c>
      <c r="C40" s="21">
        <f>'Summary Data'!G46</f>
        <v>2240</v>
      </c>
      <c r="D40" s="21">
        <f t="shared" si="0"/>
        <v>25014</v>
      </c>
      <c r="E40" s="55"/>
      <c r="H40" s="39"/>
      <c r="I40" s="41"/>
      <c r="J40" s="39"/>
      <c r="K40" s="38"/>
      <c r="L40" s="39"/>
      <c r="M40" s="38"/>
      <c r="N40" s="39"/>
      <c r="O40" s="38"/>
      <c r="P40" s="39"/>
      <c r="Q40" s="38"/>
      <c r="R40" s="39"/>
      <c r="S40" s="38"/>
      <c r="V40" s="64"/>
      <c r="W40" s="64"/>
      <c r="X40" s="29"/>
      <c r="Y40" s="29"/>
      <c r="Z40" s="83" t="s">
        <v>99</v>
      </c>
      <c r="AA40" s="21">
        <f>AA38*EXP(AA35-AA33*AA38)-AA38</f>
        <v>63676.664180764252</v>
      </c>
    </row>
    <row r="41" spans="1:27">
      <c r="A41" s="27"/>
      <c r="I41" s="28"/>
      <c r="J41" s="32"/>
      <c r="L41" s="32"/>
      <c r="N41" s="32"/>
      <c r="P41" s="32"/>
      <c r="R41" s="32"/>
      <c r="V41" s="64"/>
      <c r="W41" s="64"/>
      <c r="X41" s="29"/>
      <c r="Z41" s="83" t="s">
        <v>97</v>
      </c>
      <c r="AA41" s="21">
        <f>MAX(B6:B28)/MIN(B6:B28)</f>
        <v>169.49496987116686</v>
      </c>
    </row>
    <row r="42" spans="1:27">
      <c r="A42" s="26"/>
      <c r="H42"/>
      <c r="I42"/>
      <c r="J42"/>
      <c r="K42"/>
      <c r="L42"/>
      <c r="M42"/>
      <c r="N42"/>
      <c r="O42"/>
      <c r="P42"/>
      <c r="Q42"/>
      <c r="R42"/>
      <c r="S42"/>
      <c r="T42"/>
      <c r="U42" s="29"/>
    </row>
    <row r="43" spans="1:27">
      <c r="H43"/>
      <c r="I43"/>
      <c r="J43"/>
      <c r="K43"/>
      <c r="L43"/>
      <c r="M43"/>
      <c r="N43"/>
      <c r="O43"/>
      <c r="P43"/>
      <c r="Q43"/>
      <c r="R43"/>
      <c r="S43"/>
      <c r="T43"/>
      <c r="U43" s="29"/>
    </row>
    <row r="44" spans="1:27">
      <c r="H44"/>
      <c r="I44"/>
      <c r="J44"/>
      <c r="K44"/>
      <c r="L44"/>
      <c r="M44"/>
      <c r="N44"/>
      <c r="O44"/>
      <c r="P44"/>
      <c r="Q44"/>
      <c r="R44"/>
      <c r="S44"/>
      <c r="T44"/>
    </row>
    <row r="45" spans="1:27">
      <c r="H45"/>
      <c r="I45"/>
      <c r="J45"/>
      <c r="K45"/>
      <c r="L45"/>
      <c r="M45"/>
      <c r="N45"/>
      <c r="O45"/>
      <c r="P45"/>
      <c r="Q45"/>
      <c r="R45"/>
      <c r="S45"/>
      <c r="T45"/>
    </row>
    <row r="46" spans="1:27">
      <c r="H46"/>
      <c r="I46"/>
      <c r="J46"/>
      <c r="K46"/>
      <c r="L46"/>
      <c r="M46"/>
      <c r="N46"/>
      <c r="O46"/>
      <c r="P46"/>
      <c r="Q46"/>
      <c r="R46"/>
      <c r="S46"/>
      <c r="T46"/>
    </row>
    <row r="47" spans="1:27">
      <c r="H47"/>
      <c r="I47"/>
      <c r="J47"/>
      <c r="K47"/>
      <c r="L47"/>
      <c r="M47"/>
      <c r="N47"/>
      <c r="O47"/>
      <c r="P47"/>
      <c r="Q47"/>
      <c r="R47"/>
      <c r="S47"/>
      <c r="T47"/>
    </row>
    <row r="48" spans="1:27">
      <c r="H48"/>
      <c r="I48"/>
      <c r="J48"/>
      <c r="K48"/>
      <c r="L48"/>
      <c r="M48"/>
      <c r="N48"/>
      <c r="O48"/>
      <c r="P48"/>
      <c r="Q48"/>
      <c r="R48"/>
      <c r="S48"/>
      <c r="T48"/>
    </row>
    <row r="49" spans="8:20">
      <c r="H49"/>
      <c r="I49"/>
      <c r="J49"/>
      <c r="K49"/>
      <c r="L49"/>
      <c r="M49"/>
      <c r="N49"/>
      <c r="O49"/>
      <c r="P49"/>
      <c r="Q49"/>
      <c r="R49"/>
      <c r="S49"/>
      <c r="T49"/>
    </row>
    <row r="50" spans="8:20">
      <c r="H50"/>
      <c r="I50"/>
      <c r="J50"/>
      <c r="K50"/>
      <c r="L50"/>
      <c r="M50"/>
      <c r="N50"/>
      <c r="O50"/>
      <c r="P50"/>
      <c r="Q50"/>
      <c r="R50"/>
      <c r="S50"/>
      <c r="T50"/>
    </row>
    <row r="51" spans="8:20">
      <c r="H51"/>
      <c r="I51"/>
      <c r="J51"/>
      <c r="K51"/>
      <c r="L51"/>
      <c r="M51"/>
      <c r="N51"/>
      <c r="O51"/>
      <c r="P51"/>
      <c r="Q51"/>
      <c r="R51"/>
      <c r="S51"/>
      <c r="T51"/>
    </row>
    <row r="52" spans="8:20">
      <c r="H52"/>
      <c r="I52"/>
      <c r="J52"/>
      <c r="K52"/>
      <c r="L52"/>
      <c r="M52"/>
      <c r="N52"/>
      <c r="O52"/>
      <c r="P52"/>
      <c r="Q52"/>
      <c r="R52"/>
      <c r="S52"/>
      <c r="T52"/>
    </row>
    <row r="53" spans="8:20">
      <c r="H53"/>
      <c r="I53"/>
      <c r="J53"/>
      <c r="K53"/>
      <c r="L53"/>
      <c r="M53"/>
      <c r="N53"/>
      <c r="O53"/>
      <c r="P53"/>
      <c r="Q53"/>
      <c r="R53"/>
      <c r="S53"/>
      <c r="T53"/>
    </row>
    <row r="54" spans="8:20">
      <c r="H54"/>
      <c r="I54"/>
      <c r="J54"/>
      <c r="K54"/>
      <c r="L54"/>
      <c r="M54"/>
      <c r="N54"/>
      <c r="O54"/>
      <c r="P54"/>
      <c r="Q54"/>
      <c r="R54"/>
      <c r="S54"/>
      <c r="T54"/>
    </row>
    <row r="55" spans="8:20">
      <c r="H55"/>
      <c r="I55"/>
      <c r="J55"/>
      <c r="K55"/>
      <c r="L55"/>
      <c r="M55"/>
      <c r="N55"/>
      <c r="O55"/>
      <c r="P55"/>
      <c r="Q55"/>
      <c r="R55"/>
      <c r="S55"/>
      <c r="T55"/>
    </row>
    <row r="56" spans="8:20">
      <c r="H56"/>
      <c r="I56"/>
      <c r="J56"/>
      <c r="K56"/>
      <c r="L56"/>
      <c r="M56"/>
      <c r="N56"/>
      <c r="O56"/>
      <c r="P56"/>
      <c r="Q56"/>
      <c r="R56"/>
      <c r="S56"/>
      <c r="T56"/>
    </row>
    <row r="57" spans="8:20">
      <c r="H57"/>
      <c r="I57"/>
      <c r="J57"/>
      <c r="K57"/>
      <c r="L57"/>
      <c r="M57"/>
      <c r="N57"/>
      <c r="O57"/>
      <c r="P57"/>
      <c r="Q57"/>
      <c r="R57"/>
      <c r="S57"/>
      <c r="T57"/>
    </row>
    <row r="58" spans="8:20">
      <c r="H58"/>
      <c r="I58"/>
      <c r="J58"/>
      <c r="K58"/>
      <c r="L58"/>
      <c r="M58"/>
      <c r="N58"/>
      <c r="O58"/>
      <c r="P58"/>
      <c r="Q58"/>
      <c r="R58"/>
      <c r="S58"/>
      <c r="T58"/>
    </row>
    <row r="59" spans="8:20">
      <c r="H59"/>
      <c r="I59"/>
      <c r="J59"/>
      <c r="K59"/>
      <c r="L59"/>
      <c r="M59"/>
      <c r="N59"/>
      <c r="O59"/>
      <c r="P59"/>
      <c r="Q59"/>
      <c r="R59"/>
      <c r="S59"/>
      <c r="T59"/>
    </row>
    <row r="60" spans="8:20">
      <c r="H60"/>
      <c r="I60"/>
      <c r="J60"/>
      <c r="K60"/>
      <c r="L60"/>
      <c r="M60"/>
      <c r="N60"/>
      <c r="O60"/>
      <c r="P60"/>
      <c r="Q60"/>
      <c r="R60"/>
      <c r="S60"/>
      <c r="T60"/>
    </row>
    <row r="61" spans="8:20">
      <c r="H61"/>
      <c r="I61"/>
      <c r="J61"/>
      <c r="K61"/>
      <c r="L61"/>
      <c r="M61"/>
      <c r="N61"/>
      <c r="O61"/>
      <c r="P61"/>
      <c r="Q61"/>
      <c r="R61"/>
      <c r="S61"/>
      <c r="T61"/>
    </row>
    <row r="62" spans="8:20">
      <c r="H62"/>
      <c r="I62"/>
      <c r="J62"/>
      <c r="K62"/>
      <c r="L62"/>
      <c r="M62"/>
      <c r="N62"/>
      <c r="O62"/>
      <c r="P62"/>
      <c r="Q62"/>
      <c r="R62"/>
      <c r="S62"/>
      <c r="T62"/>
    </row>
    <row r="63" spans="8:20">
      <c r="H63"/>
      <c r="I63"/>
      <c r="J63"/>
      <c r="K63"/>
      <c r="L63"/>
      <c r="M63"/>
      <c r="N63"/>
      <c r="O63"/>
      <c r="P63"/>
      <c r="Q63"/>
      <c r="R63"/>
      <c r="S63"/>
      <c r="T63"/>
    </row>
    <row r="64" spans="8:20">
      <c r="H64"/>
      <c r="I64"/>
      <c r="J64"/>
      <c r="K64"/>
      <c r="L64"/>
      <c r="M64"/>
      <c r="N64"/>
      <c r="O64"/>
      <c r="P64"/>
      <c r="Q64"/>
      <c r="R64"/>
      <c r="S64"/>
      <c r="T64"/>
    </row>
    <row r="65" spans="8:20">
      <c r="H65"/>
      <c r="I65"/>
      <c r="J65"/>
      <c r="K65"/>
      <c r="L65"/>
      <c r="M65"/>
      <c r="N65"/>
      <c r="O65"/>
      <c r="P65"/>
      <c r="Q65"/>
      <c r="R65"/>
      <c r="S65"/>
      <c r="T65"/>
    </row>
    <row r="66" spans="8:20">
      <c r="H66"/>
      <c r="I66"/>
      <c r="J66"/>
      <c r="K66"/>
      <c r="L66"/>
      <c r="M66"/>
      <c r="N66"/>
      <c r="O66"/>
      <c r="P66"/>
      <c r="Q66"/>
      <c r="R66"/>
      <c r="S66"/>
      <c r="T66"/>
    </row>
    <row r="67" spans="8:20">
      <c r="H67"/>
      <c r="I67"/>
      <c r="J67"/>
      <c r="K67"/>
      <c r="L67"/>
      <c r="M67"/>
      <c r="N67"/>
      <c r="O67"/>
      <c r="P67"/>
      <c r="Q67"/>
      <c r="R67"/>
      <c r="S67"/>
      <c r="T67"/>
    </row>
    <row r="68" spans="8:20">
      <c r="H68"/>
      <c r="I68"/>
      <c r="J68"/>
      <c r="K68"/>
      <c r="L68"/>
      <c r="M68"/>
      <c r="N68"/>
      <c r="O68"/>
      <c r="P68"/>
      <c r="Q68"/>
      <c r="R68"/>
      <c r="S68"/>
      <c r="T68"/>
    </row>
    <row r="69" spans="8:20">
      <c r="H69"/>
      <c r="I69"/>
      <c r="J69"/>
      <c r="K69"/>
      <c r="L69"/>
      <c r="M69"/>
      <c r="N69"/>
      <c r="O69"/>
      <c r="P69"/>
      <c r="Q69"/>
      <c r="R69"/>
      <c r="S69"/>
      <c r="T69"/>
    </row>
    <row r="70" spans="8:20">
      <c r="H70"/>
      <c r="I70"/>
      <c r="J70"/>
      <c r="K70"/>
      <c r="L70"/>
      <c r="M70"/>
      <c r="N70"/>
      <c r="O70"/>
      <c r="P70"/>
      <c r="Q70"/>
      <c r="R70"/>
      <c r="S70"/>
      <c r="T70"/>
    </row>
    <row r="71" spans="8:20">
      <c r="H71"/>
      <c r="I71"/>
      <c r="J71"/>
      <c r="K71"/>
      <c r="L71"/>
      <c r="M71"/>
      <c r="N71"/>
      <c r="O71"/>
      <c r="P71"/>
      <c r="Q71"/>
      <c r="R71"/>
      <c r="S71"/>
      <c r="T71"/>
    </row>
    <row r="72" spans="8:20">
      <c r="H72"/>
      <c r="I72"/>
      <c r="J72"/>
      <c r="K72"/>
      <c r="L72"/>
      <c r="M72"/>
      <c r="N72"/>
      <c r="O72"/>
      <c r="P72"/>
      <c r="Q72"/>
      <c r="R72"/>
      <c r="S72"/>
      <c r="T72"/>
    </row>
    <row r="73" spans="8:20">
      <c r="H73"/>
      <c r="I73"/>
      <c r="J73"/>
      <c r="K73"/>
      <c r="L73"/>
      <c r="M73"/>
      <c r="N73"/>
      <c r="O73"/>
      <c r="P73"/>
      <c r="Q73"/>
      <c r="R73"/>
      <c r="S73"/>
      <c r="T73"/>
    </row>
    <row r="74" spans="8:20">
      <c r="H74"/>
      <c r="I74"/>
      <c r="J74"/>
      <c r="K74"/>
      <c r="L74"/>
      <c r="M74"/>
      <c r="N74"/>
      <c r="O74"/>
      <c r="P74"/>
      <c r="Q74"/>
      <c r="R74"/>
      <c r="S74"/>
      <c r="T74"/>
    </row>
    <row r="75" spans="8:20">
      <c r="H75"/>
      <c r="I75"/>
      <c r="J75"/>
      <c r="K75"/>
      <c r="L75"/>
      <c r="M75"/>
      <c r="N75"/>
      <c r="O75"/>
      <c r="P75"/>
      <c r="Q75"/>
      <c r="R75"/>
      <c r="S75"/>
      <c r="T75"/>
    </row>
    <row r="76" spans="8:20">
      <c r="H76"/>
      <c r="I76"/>
      <c r="J76"/>
      <c r="K76"/>
      <c r="L76"/>
      <c r="M76"/>
      <c r="N76"/>
      <c r="O76"/>
      <c r="P76"/>
      <c r="Q76"/>
      <c r="R76"/>
      <c r="S76"/>
      <c r="T76"/>
    </row>
    <row r="77" spans="8:20">
      <c r="H77"/>
      <c r="I77"/>
      <c r="J77"/>
      <c r="K77"/>
      <c r="L77"/>
      <c r="M77"/>
      <c r="N77"/>
      <c r="O77"/>
      <c r="P77"/>
      <c r="Q77"/>
      <c r="R77"/>
      <c r="S77"/>
      <c r="T77"/>
    </row>
    <row r="78" spans="8:20">
      <c r="H78"/>
      <c r="I78"/>
      <c r="J78"/>
      <c r="K78"/>
      <c r="L78"/>
      <c r="M78"/>
      <c r="N78"/>
      <c r="O78"/>
      <c r="P78"/>
      <c r="Q78"/>
      <c r="R78"/>
      <c r="S78"/>
      <c r="T78"/>
    </row>
    <row r="79" spans="8:20">
      <c r="H79"/>
      <c r="I79"/>
      <c r="J79"/>
      <c r="K79"/>
      <c r="L79"/>
      <c r="M79"/>
      <c r="N79"/>
      <c r="O79"/>
      <c r="P79"/>
      <c r="Q79"/>
      <c r="R79"/>
      <c r="S79"/>
      <c r="T79"/>
    </row>
    <row r="80" spans="8:20">
      <c r="H80"/>
      <c r="I80"/>
      <c r="J80"/>
      <c r="K80"/>
      <c r="L80"/>
      <c r="M80"/>
      <c r="N80"/>
      <c r="O80"/>
      <c r="P80"/>
      <c r="Q80"/>
      <c r="R80"/>
      <c r="S80"/>
      <c r="T80"/>
    </row>
    <row r="81" spans="8:20">
      <c r="H81"/>
      <c r="I81"/>
      <c r="J81"/>
      <c r="K81"/>
      <c r="L81"/>
      <c r="M81"/>
      <c r="N81"/>
      <c r="O81"/>
      <c r="P81"/>
      <c r="Q81"/>
      <c r="R81"/>
      <c r="S81"/>
      <c r="T81"/>
    </row>
    <row r="82" spans="8:20">
      <c r="H82"/>
      <c r="I82"/>
      <c r="J82"/>
      <c r="K82"/>
      <c r="L82"/>
      <c r="M82"/>
      <c r="N82"/>
      <c r="O82"/>
      <c r="P82"/>
      <c r="Q82"/>
      <c r="R82"/>
      <c r="S82"/>
      <c r="T82"/>
    </row>
    <row r="83" spans="8:20">
      <c r="H83"/>
      <c r="I83"/>
      <c r="J83"/>
      <c r="K83"/>
      <c r="L83"/>
      <c r="M83"/>
      <c r="N83"/>
      <c r="O83"/>
      <c r="P83"/>
      <c r="Q83"/>
      <c r="R83"/>
      <c r="S83"/>
      <c r="T83"/>
    </row>
    <row r="84" spans="8:20">
      <c r="H84"/>
      <c r="I84"/>
      <c r="J84"/>
      <c r="K84"/>
      <c r="L84"/>
      <c r="M84"/>
      <c r="N84"/>
      <c r="O84"/>
      <c r="P84"/>
      <c r="Q84"/>
      <c r="R84"/>
      <c r="S84"/>
      <c r="T84"/>
    </row>
    <row r="85" spans="8:20">
      <c r="H85"/>
      <c r="I85"/>
      <c r="J85"/>
      <c r="K85"/>
      <c r="L85"/>
      <c r="M85"/>
      <c r="N85"/>
      <c r="O85"/>
      <c r="P85"/>
      <c r="Q85"/>
      <c r="R85"/>
      <c r="S85"/>
      <c r="T85"/>
    </row>
    <row r="86" spans="8:20">
      <c r="H86"/>
      <c r="I86"/>
      <c r="J86"/>
      <c r="K86"/>
      <c r="L86"/>
      <c r="M86"/>
      <c r="N86"/>
      <c r="O86"/>
      <c r="P86"/>
      <c r="Q86"/>
      <c r="R86"/>
      <c r="S86"/>
      <c r="T86"/>
    </row>
    <row r="87" spans="8:20">
      <c r="H87"/>
      <c r="I87"/>
      <c r="J87"/>
      <c r="K87"/>
      <c r="L87"/>
      <c r="M87"/>
      <c r="N87"/>
      <c r="O87"/>
      <c r="P87"/>
      <c r="Q87"/>
      <c r="R87"/>
      <c r="S87"/>
      <c r="T87"/>
    </row>
    <row r="88" spans="8:20">
      <c r="H88"/>
      <c r="I88"/>
      <c r="J88"/>
      <c r="K88"/>
      <c r="L88"/>
      <c r="M88"/>
      <c r="N88"/>
      <c r="O88"/>
      <c r="P88"/>
      <c r="Q88"/>
      <c r="R88"/>
      <c r="S88"/>
      <c r="T88"/>
    </row>
    <row r="89" spans="8:20">
      <c r="H89"/>
      <c r="I89"/>
      <c r="J89"/>
      <c r="K89"/>
      <c r="L89"/>
      <c r="M89"/>
      <c r="N89"/>
      <c r="O89"/>
      <c r="P89"/>
      <c r="Q89"/>
      <c r="R89"/>
      <c r="S89"/>
      <c r="T89"/>
    </row>
    <row r="90" spans="8:20">
      <c r="H90"/>
      <c r="I90"/>
      <c r="J90"/>
      <c r="K90"/>
      <c r="L90"/>
      <c r="M90"/>
      <c r="N90"/>
      <c r="O90"/>
      <c r="P90"/>
      <c r="Q90"/>
      <c r="R90"/>
      <c r="S90"/>
      <c r="T90"/>
    </row>
    <row r="91" spans="8:20">
      <c r="H91"/>
      <c r="I91"/>
      <c r="J91"/>
      <c r="K91"/>
      <c r="L91"/>
      <c r="M91"/>
      <c r="N91"/>
      <c r="O91"/>
      <c r="P91"/>
      <c r="Q91"/>
      <c r="R91"/>
      <c r="S91"/>
      <c r="T91"/>
    </row>
    <row r="92" spans="8:20">
      <c r="H92"/>
      <c r="I92"/>
      <c r="J92"/>
      <c r="K92"/>
      <c r="L92"/>
      <c r="M92"/>
      <c r="N92"/>
      <c r="O92"/>
      <c r="P92"/>
      <c r="Q92"/>
      <c r="R92"/>
      <c r="S92"/>
      <c r="T92"/>
    </row>
    <row r="93" spans="8:20">
      <c r="H93"/>
      <c r="I93"/>
      <c r="J93"/>
      <c r="K93"/>
      <c r="L93"/>
      <c r="M93"/>
      <c r="N93"/>
      <c r="O93"/>
      <c r="P93"/>
      <c r="Q93"/>
      <c r="R93"/>
      <c r="S93"/>
      <c r="T93"/>
    </row>
    <row r="94" spans="8:20">
      <c r="H94"/>
      <c r="I94"/>
      <c r="J94"/>
      <c r="K94"/>
      <c r="L94"/>
      <c r="M94"/>
      <c r="N94"/>
      <c r="O94"/>
      <c r="P94"/>
      <c r="Q94"/>
      <c r="R94"/>
      <c r="S94"/>
      <c r="T94"/>
    </row>
    <row r="95" spans="8:20">
      <c r="H95"/>
      <c r="I95"/>
      <c r="J95"/>
      <c r="K95"/>
      <c r="L95"/>
      <c r="M95"/>
      <c r="N95"/>
      <c r="O95"/>
      <c r="P95"/>
      <c r="Q95"/>
      <c r="R95"/>
      <c r="S95"/>
      <c r="T95"/>
    </row>
    <row r="96" spans="8:20">
      <c r="H96"/>
      <c r="I96"/>
      <c r="J96"/>
      <c r="K96"/>
      <c r="L96"/>
      <c r="M96"/>
      <c r="N96"/>
      <c r="O96"/>
      <c r="P96"/>
      <c r="Q96"/>
      <c r="R96"/>
      <c r="S96"/>
      <c r="T96"/>
    </row>
    <row r="97" spans="8:20">
      <c r="H97"/>
      <c r="I97"/>
      <c r="J97"/>
      <c r="K97"/>
      <c r="L97"/>
      <c r="M97"/>
      <c r="N97"/>
      <c r="O97"/>
      <c r="P97"/>
      <c r="Q97"/>
      <c r="R97"/>
      <c r="S97"/>
      <c r="T97"/>
    </row>
    <row r="98" spans="8:20">
      <c r="H98"/>
      <c r="I98"/>
      <c r="J98"/>
      <c r="K98"/>
      <c r="L98"/>
      <c r="M98"/>
      <c r="N98"/>
      <c r="O98"/>
      <c r="P98"/>
      <c r="Q98"/>
      <c r="R98"/>
      <c r="S98"/>
      <c r="T98"/>
    </row>
  </sheetData>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D94"/>
  <sheetViews>
    <sheetView workbookViewId="0">
      <pane xSplit="1" ySplit="5" topLeftCell="B10" activePane="bottomRight" state="frozen"/>
      <selection pane="topRight" activeCell="B1" sqref="B1"/>
      <selection pane="bottomLeft" activeCell="A5" sqref="A5"/>
      <selection pane="bottomRight" activeCell="I2" sqref="I2"/>
    </sheetView>
  </sheetViews>
  <sheetFormatPr baseColWidth="10" defaultColWidth="8.83203125" defaultRowHeight="14" x14ac:dyDescent="0"/>
  <cols>
    <col min="1" max="1" width="8.83203125" style="22"/>
    <col min="2" max="4" width="12.1640625" style="21" customWidth="1"/>
    <col min="5" max="5" width="9" style="21" customWidth="1"/>
    <col min="6" max="7" width="8" style="31" customWidth="1"/>
    <col min="8" max="8" width="7.6640625" style="30" customWidth="1"/>
    <col min="9" max="9" width="6.6640625" style="21" customWidth="1"/>
    <col min="10" max="10" width="6.6640625" style="30" customWidth="1"/>
    <col min="11" max="11" width="6.6640625" style="21" customWidth="1"/>
    <col min="12" max="12" width="6.6640625" style="30" customWidth="1"/>
    <col min="13" max="13" width="6.6640625" style="21" customWidth="1"/>
    <col min="14" max="14" width="6.6640625" style="30" customWidth="1"/>
    <col min="15" max="15" width="6.6640625" style="21" customWidth="1"/>
    <col min="16" max="16" width="6.6640625" style="30" customWidth="1"/>
    <col min="17" max="17" width="6.6640625" style="21" customWidth="1"/>
    <col min="18" max="18" width="6.6640625" style="30" customWidth="1"/>
    <col min="19" max="19" width="6.6640625" style="21" customWidth="1"/>
    <col min="20" max="20" width="7.33203125" style="21" customWidth="1"/>
    <col min="21" max="21" width="6.6640625" style="22" customWidth="1"/>
    <col min="22" max="23" width="6.6640625" style="27" customWidth="1"/>
    <col min="24" max="26" width="6.6640625" style="22" customWidth="1"/>
    <col min="27" max="16384" width="8.83203125" style="22"/>
  </cols>
  <sheetData>
    <row r="1" spans="1:26" ht="15">
      <c r="A1" s="19" t="s">
        <v>59</v>
      </c>
    </row>
    <row r="2" spans="1:26" ht="15">
      <c r="A2" s="82" t="s">
        <v>185</v>
      </c>
    </row>
    <row r="3" spans="1:26">
      <c r="H3" s="23"/>
    </row>
    <row r="4" spans="1:26">
      <c r="A4" s="44"/>
      <c r="B4" s="53"/>
      <c r="C4" s="51"/>
      <c r="D4" s="51"/>
      <c r="E4" s="120"/>
      <c r="F4" s="120"/>
      <c r="G4" s="51"/>
      <c r="H4" s="45" t="s">
        <v>55</v>
      </c>
      <c r="I4" s="46"/>
      <c r="J4" s="47"/>
      <c r="K4" s="48"/>
      <c r="L4" s="49"/>
      <c r="M4" s="48"/>
      <c r="N4" s="49"/>
      <c r="O4" s="48"/>
      <c r="P4" s="49"/>
      <c r="Q4" s="48"/>
      <c r="R4" s="49"/>
      <c r="S4" s="48"/>
      <c r="U4" s="24"/>
    </row>
    <row r="5" spans="1:26">
      <c r="A5" s="42" t="s">
        <v>0</v>
      </c>
      <c r="B5" s="52" t="s">
        <v>1</v>
      </c>
      <c r="C5" s="52" t="s">
        <v>10</v>
      </c>
      <c r="D5" s="52" t="s">
        <v>32</v>
      </c>
      <c r="E5" s="121" t="s">
        <v>14</v>
      </c>
      <c r="F5" s="121" t="s">
        <v>57</v>
      </c>
      <c r="G5" s="52" t="s">
        <v>72</v>
      </c>
      <c r="H5" s="43" t="s">
        <v>0</v>
      </c>
      <c r="I5" s="43" t="s">
        <v>48</v>
      </c>
      <c r="J5" s="43"/>
      <c r="K5" s="43" t="s">
        <v>49</v>
      </c>
      <c r="L5" s="43"/>
      <c r="M5" s="43" t="s">
        <v>50</v>
      </c>
      <c r="N5" s="43"/>
      <c r="O5" s="43" t="s">
        <v>51</v>
      </c>
      <c r="P5" s="43"/>
      <c r="Q5" s="43" t="s">
        <v>52</v>
      </c>
      <c r="R5" s="43"/>
      <c r="S5" s="43" t="s">
        <v>53</v>
      </c>
      <c r="T5" s="26"/>
      <c r="U5" s="26"/>
      <c r="V5" s="31" t="s">
        <v>73</v>
      </c>
      <c r="W5" s="31" t="s">
        <v>74</v>
      </c>
      <c r="X5" s="26"/>
      <c r="Y5" s="26"/>
      <c r="Z5" s="26"/>
    </row>
    <row r="6" spans="1:26">
      <c r="A6" s="27">
        <v>1982</v>
      </c>
      <c r="B6" s="21">
        <f>'Summary Data'!C12</f>
        <v>455.8408662342689</v>
      </c>
      <c r="C6" s="21">
        <f>'Summary Data'!G12</f>
        <v>99</v>
      </c>
      <c r="D6" s="21">
        <f>SUM(B6:C6)</f>
        <v>554.8408662342689</v>
      </c>
      <c r="E6" s="122">
        <f t="shared" ref="E6:E28" si="0">SUM(I6,K6,M6,O6,Q6,S6)</f>
        <v>5053.952108402369</v>
      </c>
      <c r="F6" s="123">
        <f>E6/B6</f>
        <v>11.087097456078032</v>
      </c>
      <c r="G6" s="54">
        <f>LN(F6)</f>
        <v>2.4057820408731683</v>
      </c>
      <c r="H6" s="39">
        <v>1985</v>
      </c>
      <c r="I6" s="38">
        <f>D9*'Escapement Age'!B8</f>
        <v>76.20385376305704</v>
      </c>
      <c r="J6" s="39">
        <v>1986</v>
      </c>
      <c r="K6" s="38">
        <f>D10*'Escapement Age'!C9</f>
        <v>1811.8171507084016</v>
      </c>
      <c r="L6" s="39">
        <v>1987</v>
      </c>
      <c r="M6" s="38">
        <f>D11*'Escapement Age'!D10</f>
        <v>2797.2837260263127</v>
      </c>
      <c r="N6" s="39">
        <v>1988</v>
      </c>
      <c r="O6" s="38">
        <f>D12*'Escapement Age'!F11</f>
        <v>347.82722546173119</v>
      </c>
      <c r="P6" s="39">
        <v>1989</v>
      </c>
      <c r="Q6" s="38">
        <f>D13*'Escapement Age'!G12</f>
        <v>20.820152442865616</v>
      </c>
      <c r="R6" s="39">
        <v>1990</v>
      </c>
      <c r="S6" s="38">
        <f>D14*'Escapement Age'!H13</f>
        <v>0</v>
      </c>
      <c r="U6" s="28"/>
      <c r="V6" s="31">
        <f>B6/1000</f>
        <v>0.45584086623426889</v>
      </c>
      <c r="W6" s="31">
        <f>E6/1000</f>
        <v>5.0539521084023686</v>
      </c>
      <c r="X6" s="28"/>
      <c r="Y6" s="28"/>
      <c r="Z6" s="28"/>
    </row>
    <row r="7" spans="1:26">
      <c r="A7" s="27">
        <v>1983</v>
      </c>
      <c r="B7" s="21">
        <f>'Summary Data'!C13</f>
        <v>2539.7855103785087</v>
      </c>
      <c r="C7" s="21">
        <f>'Summary Data'!G13</f>
        <v>36</v>
      </c>
      <c r="D7" s="21">
        <f t="shared" ref="D7:D34" si="1">SUM(B7:C7)</f>
        <v>2575.7855103785087</v>
      </c>
      <c r="E7" s="122">
        <f t="shared" si="0"/>
        <v>10860.306713518834</v>
      </c>
      <c r="F7" s="123">
        <f t="shared" ref="F7:F28" si="2">E7/B7</f>
        <v>4.2760723963262173</v>
      </c>
      <c r="G7" s="54">
        <f t="shared" ref="G7:G28" si="3">LN(F7)</f>
        <v>1.4530349238721905</v>
      </c>
      <c r="H7" s="39">
        <v>1986</v>
      </c>
      <c r="I7" s="38">
        <f>D10*'Escapement Age'!B9</f>
        <v>69.388741942023898</v>
      </c>
      <c r="J7" s="39">
        <v>1987</v>
      </c>
      <c r="K7" s="38">
        <f>D11*'Escapement Age'!C10</f>
        <v>5962.9901866999935</v>
      </c>
      <c r="L7" s="39">
        <v>1988</v>
      </c>
      <c r="M7" s="38">
        <f>D12*'Escapement Age'!D11</f>
        <v>725.46821310589655</v>
      </c>
      <c r="N7" s="39">
        <v>1989</v>
      </c>
      <c r="O7" s="38">
        <f>D13*'Escapement Age'!F12</f>
        <v>4080.749878801661</v>
      </c>
      <c r="P7" s="39">
        <v>1990</v>
      </c>
      <c r="Q7" s="38">
        <f>D14*'Escapement Age'!G13</f>
        <v>0</v>
      </c>
      <c r="R7" s="39">
        <v>1991</v>
      </c>
      <c r="S7" s="38">
        <f>D15*'Escapement Age'!H14</f>
        <v>21.709692969257897</v>
      </c>
      <c r="U7" s="28"/>
      <c r="V7" s="31">
        <f t="shared" ref="V7:V28" si="4">B7/1000</f>
        <v>2.5397855103785085</v>
      </c>
      <c r="W7" s="31">
        <f t="shared" ref="W7:W28" si="5">E7/1000</f>
        <v>10.860306713518835</v>
      </c>
      <c r="X7" s="28"/>
      <c r="Y7" s="28"/>
      <c r="Z7" s="28"/>
    </row>
    <row r="8" spans="1:26">
      <c r="A8" s="27">
        <v>1984</v>
      </c>
      <c r="B8" s="21">
        <f>'Summary Data'!C14</f>
        <v>11579.406940083547</v>
      </c>
      <c r="C8" s="21">
        <f>'Summary Data'!G14</f>
        <v>217</v>
      </c>
      <c r="D8" s="21">
        <f t="shared" si="1"/>
        <v>11796.406940083547</v>
      </c>
      <c r="E8" s="122">
        <f t="shared" si="0"/>
        <v>30927.044187367625</v>
      </c>
      <c r="F8" s="123">
        <f t="shared" si="2"/>
        <v>2.6708659905810754</v>
      </c>
      <c r="G8" s="54">
        <f t="shared" si="3"/>
        <v>0.9824027608665743</v>
      </c>
      <c r="H8" s="39">
        <v>1987</v>
      </c>
      <c r="I8" s="38">
        <f>D11*'Escapement Age'!B10</f>
        <v>95.517005278947252</v>
      </c>
      <c r="J8" s="39">
        <v>1988</v>
      </c>
      <c r="K8" s="38">
        <f>D12*'Escapement Age'!C11</f>
        <v>477.02019491894566</v>
      </c>
      <c r="L8" s="39">
        <v>1989</v>
      </c>
      <c r="M8" s="38">
        <f>D13*'Escapement Age'!D12</f>
        <v>8036.5788429461281</v>
      </c>
      <c r="N8" s="39">
        <v>1990</v>
      </c>
      <c r="O8" s="38">
        <f>D14*'Escapement Age'!F13</f>
        <v>21080.475644975904</v>
      </c>
      <c r="P8" s="39">
        <v>1991</v>
      </c>
      <c r="Q8" s="38">
        <f>D15*'Escapement Age'!G14</f>
        <v>1237.4524992477</v>
      </c>
      <c r="R8" s="39">
        <v>1992</v>
      </c>
      <c r="S8" s="38">
        <f>D16*'Escapement Age'!H15</f>
        <v>0</v>
      </c>
      <c r="U8" s="28"/>
      <c r="V8" s="31">
        <f t="shared" si="4"/>
        <v>11.579406940083548</v>
      </c>
      <c r="W8" s="31">
        <f t="shared" si="5"/>
        <v>30.927044187367624</v>
      </c>
      <c r="X8" s="28"/>
      <c r="Y8" s="28"/>
      <c r="Z8" s="28"/>
    </row>
    <row r="9" spans="1:26">
      <c r="A9" s="27">
        <v>1985</v>
      </c>
      <c r="B9" s="21">
        <f>'Summary Data'!C15</f>
        <v>10991.361364818644</v>
      </c>
      <c r="C9" s="21">
        <f>'Summary Data'!G15</f>
        <v>109</v>
      </c>
      <c r="D9" s="21">
        <f t="shared" si="1"/>
        <v>11100.361364818644</v>
      </c>
      <c r="E9" s="122">
        <f t="shared" si="0"/>
        <v>50197.604744017284</v>
      </c>
      <c r="F9" s="123">
        <f t="shared" si="2"/>
        <v>4.5670052214542523</v>
      </c>
      <c r="G9" s="54">
        <f t="shared" si="3"/>
        <v>1.5188576775028986</v>
      </c>
      <c r="H9" s="39">
        <v>1988</v>
      </c>
      <c r="I9" s="38">
        <f>D12*'Escapement Age'!B11</f>
        <v>0</v>
      </c>
      <c r="J9" s="39">
        <v>1989</v>
      </c>
      <c r="K9" s="38">
        <f>D13*'Escapement Age'!C12</f>
        <v>2894.0011895583207</v>
      </c>
      <c r="L9" s="39">
        <v>1990</v>
      </c>
      <c r="M9" s="38">
        <f>D14*'Escapement Age'!D13</f>
        <v>7132.0172092283747</v>
      </c>
      <c r="N9" s="39">
        <v>1991</v>
      </c>
      <c r="O9" s="38">
        <f>D15*'Escapement Age'!F14</f>
        <v>39967.544756403782</v>
      </c>
      <c r="P9" s="39">
        <v>1992</v>
      </c>
      <c r="Q9" s="38">
        <f>D16*'Escapement Age'!G15</f>
        <v>204.04158882680332</v>
      </c>
      <c r="R9" s="39">
        <v>1993</v>
      </c>
      <c r="S9" s="38">
        <f>D17*'Escapement Age'!H16</f>
        <v>0</v>
      </c>
      <c r="U9" s="28"/>
      <c r="V9" s="31">
        <f t="shared" si="4"/>
        <v>10.991361364818644</v>
      </c>
      <c r="W9" s="31">
        <f t="shared" si="5"/>
        <v>50.197604744017283</v>
      </c>
      <c r="X9" s="28"/>
      <c r="Y9" s="28"/>
      <c r="Z9" s="28"/>
    </row>
    <row r="10" spans="1:26">
      <c r="A10" s="27">
        <v>1986</v>
      </c>
      <c r="B10" s="21">
        <f>'Summary Data'!C16</f>
        <v>9798.1703772778565</v>
      </c>
      <c r="C10" s="21">
        <f>'Summary Data'!G16</f>
        <v>109</v>
      </c>
      <c r="D10" s="21">
        <f t="shared" si="1"/>
        <v>9907.1703772778565</v>
      </c>
      <c r="E10" s="122">
        <f t="shared" si="0"/>
        <v>9298.6273056371865</v>
      </c>
      <c r="F10" s="123">
        <f t="shared" si="2"/>
        <v>0.94901669879112127</v>
      </c>
      <c r="G10" s="54">
        <f t="shared" si="3"/>
        <v>-5.2328884329843131E-2</v>
      </c>
      <c r="H10" s="39">
        <v>1989</v>
      </c>
      <c r="I10" s="38">
        <f>D13*'Escapement Age'!B12</f>
        <v>166.56121954292493</v>
      </c>
      <c r="J10" s="39">
        <v>1990</v>
      </c>
      <c r="K10" s="38">
        <f>D14*'Escapement Age'!C13</f>
        <v>4228.7181683035496</v>
      </c>
      <c r="L10" s="39">
        <v>1991</v>
      </c>
      <c r="M10" s="38">
        <f>D15*'Escapement Age'!D14</f>
        <v>1606.5172797250843</v>
      </c>
      <c r="N10" s="39">
        <v>1992</v>
      </c>
      <c r="O10" s="38">
        <f>D16*'Escapement Age'!F15</f>
        <v>3037.0805721528036</v>
      </c>
      <c r="P10" s="39">
        <v>1993</v>
      </c>
      <c r="Q10" s="38">
        <f>D17*'Escapement Age'!G16</f>
        <v>259.75006591282317</v>
      </c>
      <c r="R10" s="39">
        <v>1994</v>
      </c>
      <c r="S10" s="38">
        <f>D18*'Escapement Age'!H17</f>
        <v>0</v>
      </c>
      <c r="U10" s="28"/>
      <c r="V10" s="31">
        <f t="shared" si="4"/>
        <v>9.7981703772778559</v>
      </c>
      <c r="W10" s="31">
        <f t="shared" si="5"/>
        <v>9.2986273056371864</v>
      </c>
      <c r="X10" s="28"/>
      <c r="Y10" s="28"/>
      <c r="Z10" s="28"/>
    </row>
    <row r="11" spans="1:26">
      <c r="A11" s="27">
        <v>1987</v>
      </c>
      <c r="B11" s="21">
        <f>'Summary Data'!C17</f>
        <v>14251.358370057878</v>
      </c>
      <c r="C11" s="21">
        <f>'Summary Data'!G17</f>
        <v>199</v>
      </c>
      <c r="D11" s="21">
        <f t="shared" si="1"/>
        <v>14450.358370057878</v>
      </c>
      <c r="E11" s="122">
        <f t="shared" si="0"/>
        <v>12688.690317759443</v>
      </c>
      <c r="F11" s="123">
        <f t="shared" si="2"/>
        <v>0.89034953639355507</v>
      </c>
      <c r="G11" s="54">
        <f t="shared" si="3"/>
        <v>-0.11614115583629692</v>
      </c>
      <c r="H11" s="39">
        <v>1990</v>
      </c>
      <c r="I11" s="38">
        <f>D14*'Escapement Age'!B13</f>
        <v>504.92157233475217</v>
      </c>
      <c r="J11" s="39">
        <v>1991</v>
      </c>
      <c r="K11" s="38">
        <f>D15*'Escapement Age'!C14</f>
        <v>4255.099821974547</v>
      </c>
      <c r="L11" s="39">
        <v>1992</v>
      </c>
      <c r="M11" s="38">
        <f>D16*'Escapement Age'!D15</f>
        <v>3154.796873399036</v>
      </c>
      <c r="N11" s="39">
        <v>1993</v>
      </c>
      <c r="O11" s="38">
        <f>D17*'Escapement Age'!F16</f>
        <v>4049.7396640044708</v>
      </c>
      <c r="P11" s="39">
        <v>1994</v>
      </c>
      <c r="Q11" s="38">
        <f>D18*'Escapement Age'!G17</f>
        <v>724.13238604663582</v>
      </c>
      <c r="R11" s="39">
        <v>1995</v>
      </c>
      <c r="S11" s="38">
        <f>D19*'Escapement Age'!H18</f>
        <v>0</v>
      </c>
      <c r="U11" s="28"/>
      <c r="V11" s="31">
        <f t="shared" si="4"/>
        <v>14.251358370057879</v>
      </c>
      <c r="W11" s="31">
        <f t="shared" si="5"/>
        <v>12.688690317759443</v>
      </c>
      <c r="X11" s="28"/>
      <c r="Y11" s="28"/>
      <c r="Z11" s="28"/>
    </row>
    <row r="12" spans="1:26">
      <c r="A12" s="27">
        <v>1988</v>
      </c>
      <c r="B12" s="21">
        <f>'Summary Data'!C18</f>
        <v>3252.0306691668725</v>
      </c>
      <c r="C12" s="21">
        <f>'Summary Data'!G18</f>
        <v>425</v>
      </c>
      <c r="D12" s="21">
        <f t="shared" si="1"/>
        <v>3677.0306691668725</v>
      </c>
      <c r="E12" s="122">
        <f t="shared" si="0"/>
        <v>20201.533124884598</v>
      </c>
      <c r="F12" s="123">
        <f t="shared" si="2"/>
        <v>6.2119749719518991</v>
      </c>
      <c r="G12" s="54">
        <f t="shared" si="3"/>
        <v>1.826478876294406</v>
      </c>
      <c r="H12" s="39">
        <v>1991</v>
      </c>
      <c r="I12" s="38">
        <f>D15*'Escapement Age'!B14</f>
        <v>108.54846484628948</v>
      </c>
      <c r="J12" s="39">
        <v>1992</v>
      </c>
      <c r="K12" s="38">
        <f>D16*'Escapement Age'!C15</f>
        <v>1742.2012584442436</v>
      </c>
      <c r="L12" s="39">
        <v>1993</v>
      </c>
      <c r="M12" s="38">
        <f>D17*'Escapement Age'!D16</f>
        <v>2113.4209908361522</v>
      </c>
      <c r="N12" s="39">
        <v>1994</v>
      </c>
      <c r="O12" s="38">
        <f>D18*'Escapement Age'!F17</f>
        <v>16137.807460467884</v>
      </c>
      <c r="P12" s="39">
        <v>1995</v>
      </c>
      <c r="Q12" s="38">
        <f>D19*'Escapement Age'!G18</f>
        <v>99.554950290028245</v>
      </c>
      <c r="R12" s="39">
        <v>1996</v>
      </c>
      <c r="S12" s="38">
        <f>D20*'Escapement Age'!H19</f>
        <v>0</v>
      </c>
      <c r="U12" s="28"/>
      <c r="V12" s="31">
        <f t="shared" si="4"/>
        <v>3.2520306691668726</v>
      </c>
      <c r="W12" s="31">
        <f t="shared" si="5"/>
        <v>20.201533124884598</v>
      </c>
      <c r="X12" s="28"/>
      <c r="Y12" s="28"/>
      <c r="Z12" s="28"/>
    </row>
    <row r="13" spans="1:26">
      <c r="A13" s="27">
        <v>1989</v>
      </c>
      <c r="B13" s="21">
        <f>'Summary Data'!C19</f>
        <v>31570.474732028444</v>
      </c>
      <c r="C13" s="21">
        <f>'Summary Data'!G19</f>
        <v>3220</v>
      </c>
      <c r="D13" s="21">
        <f t="shared" si="1"/>
        <v>34790.474732028444</v>
      </c>
      <c r="E13" s="122">
        <f t="shared" si="0"/>
        <v>25397.567863090037</v>
      </c>
      <c r="F13" s="123">
        <f t="shared" si="2"/>
        <v>0.80447215566651098</v>
      </c>
      <c r="G13" s="54">
        <f t="shared" si="3"/>
        <v>-0.21756892388016094</v>
      </c>
      <c r="H13" s="39">
        <v>1992</v>
      </c>
      <c r="I13" s="38">
        <f>D16*'Escapement Age'!B15</f>
        <v>745.53657455947371</v>
      </c>
      <c r="J13" s="39">
        <v>1993</v>
      </c>
      <c r="K13" s="38">
        <f>D17*'Escapement Age'!C16</f>
        <v>9162.0932340159452</v>
      </c>
      <c r="L13" s="39">
        <v>1994</v>
      </c>
      <c r="M13" s="38">
        <f>D18*'Escapement Age'!D17</f>
        <v>13517.137872870535</v>
      </c>
      <c r="N13" s="39">
        <v>1995</v>
      </c>
      <c r="O13" s="38">
        <f>D19*'Escapement Age'!F18</f>
        <v>1957.9140223705554</v>
      </c>
      <c r="P13" s="39">
        <v>1996</v>
      </c>
      <c r="Q13" s="38">
        <f>D20*'Escapement Age'!G19</f>
        <v>14.886159273524806</v>
      </c>
      <c r="R13" s="39">
        <v>1997</v>
      </c>
      <c r="S13" s="38">
        <f>D21*'Escapement Age'!H20</f>
        <v>0</v>
      </c>
      <c r="U13" s="28"/>
      <c r="V13" s="31">
        <f t="shared" si="4"/>
        <v>31.570474732028444</v>
      </c>
      <c r="W13" s="31">
        <f t="shared" si="5"/>
        <v>25.397567863090035</v>
      </c>
      <c r="X13" s="28"/>
      <c r="Y13" s="28"/>
      <c r="Z13" s="28"/>
    </row>
    <row r="14" spans="1:26">
      <c r="A14" s="27">
        <v>1990</v>
      </c>
      <c r="B14" s="21">
        <f>'Summary Data'!C20</f>
        <v>73180.571660014248</v>
      </c>
      <c r="C14" s="21">
        <f>'Summary Data'!G20</f>
        <v>6029</v>
      </c>
      <c r="D14" s="21">
        <f t="shared" si="1"/>
        <v>79209.571660014248</v>
      </c>
      <c r="E14" s="122">
        <f t="shared" si="0"/>
        <v>40693.678307238224</v>
      </c>
      <c r="F14" s="123">
        <f t="shared" si="2"/>
        <v>0.55607215664144893</v>
      </c>
      <c r="G14" s="54">
        <f t="shared" si="3"/>
        <v>-0.58685721501990551</v>
      </c>
      <c r="H14" s="39">
        <v>1993</v>
      </c>
      <c r="I14" s="38">
        <f>D17*'Escapement Age'!B16</f>
        <v>295.17052944638999</v>
      </c>
      <c r="J14" s="39">
        <v>1994</v>
      </c>
      <c r="K14" s="38">
        <f>D18*'Escapement Age'!C17</f>
        <v>12258.526820932335</v>
      </c>
      <c r="L14" s="39">
        <v>1995</v>
      </c>
      <c r="M14" s="38">
        <f>D19*'Escapement Age'!D18</f>
        <v>25237.179898522158</v>
      </c>
      <c r="N14" s="39">
        <v>1996</v>
      </c>
      <c r="O14" s="38">
        <f>D20*'Escapement Age'!F19</f>
        <v>2902.8010583373371</v>
      </c>
      <c r="P14" s="39">
        <v>1997</v>
      </c>
      <c r="Q14" s="38">
        <f>D21*'Escapement Age'!G20</f>
        <v>0</v>
      </c>
      <c r="R14" s="39">
        <v>1998</v>
      </c>
      <c r="S14" s="40">
        <v>0</v>
      </c>
      <c r="U14" s="28"/>
      <c r="V14" s="31">
        <f t="shared" si="4"/>
        <v>73.180571660014252</v>
      </c>
      <c r="W14" s="31">
        <f t="shared" si="5"/>
        <v>40.693678307238223</v>
      </c>
      <c r="X14" s="28"/>
      <c r="Y14" s="28"/>
      <c r="Z14" s="28"/>
    </row>
    <row r="15" spans="1:26">
      <c r="A15" s="27">
        <v>1991</v>
      </c>
      <c r="B15" s="21">
        <f>'Summary Data'!C21</f>
        <v>45509.809180830263</v>
      </c>
      <c r="C15" s="21">
        <f>'Summary Data'!G21</f>
        <v>3337</v>
      </c>
      <c r="D15" s="21">
        <f t="shared" si="1"/>
        <v>48846.809180830263</v>
      </c>
      <c r="E15" s="122">
        <f t="shared" si="0"/>
        <v>24727.321787522989</v>
      </c>
      <c r="F15" s="123">
        <f t="shared" si="2"/>
        <v>0.54334048488910569</v>
      </c>
      <c r="G15" s="54">
        <f t="shared" si="3"/>
        <v>-0.61001911156347488</v>
      </c>
      <c r="H15" s="39">
        <v>1994</v>
      </c>
      <c r="I15" s="38">
        <f>D18*'Escapement Age'!B17</f>
        <v>431.03118217061655</v>
      </c>
      <c r="J15" s="39">
        <v>1995</v>
      </c>
      <c r="K15" s="38">
        <f>D19*'Escapement Age'!C18</f>
        <v>5326.1898405165111</v>
      </c>
      <c r="L15" s="39">
        <v>1996</v>
      </c>
      <c r="M15" s="38">
        <f>D20*'Escapement Age'!D19</f>
        <v>5939.5775501363978</v>
      </c>
      <c r="N15" s="39">
        <v>1997</v>
      </c>
      <c r="O15" s="38">
        <f>D21*'Escapement Age'!F20</f>
        <v>12990.873941632279</v>
      </c>
      <c r="P15" s="39">
        <v>1998</v>
      </c>
      <c r="Q15" s="40">
        <f>Q53</f>
        <v>39.649273067185277</v>
      </c>
      <c r="R15" s="39">
        <v>1999</v>
      </c>
      <c r="S15" s="38">
        <f>D23*'Escapement Age'!H22</f>
        <v>0</v>
      </c>
      <c r="U15" s="28"/>
      <c r="V15" s="31">
        <f t="shared" si="4"/>
        <v>45.50980918083026</v>
      </c>
      <c r="W15" s="31">
        <f t="shared" si="5"/>
        <v>24.727321787522989</v>
      </c>
      <c r="X15" s="28"/>
      <c r="Y15" s="28"/>
      <c r="Z15" s="28"/>
    </row>
    <row r="16" spans="1:26">
      <c r="A16" s="27">
        <v>1992</v>
      </c>
      <c r="B16" s="21">
        <f>'Summary Data'!C22</f>
        <v>10325.816536999801</v>
      </c>
      <c r="C16" s="21">
        <f>'Summary Data'!G22</f>
        <v>96</v>
      </c>
      <c r="D16" s="21">
        <f t="shared" si="1"/>
        <v>10421.816536999801</v>
      </c>
      <c r="E16" s="122">
        <f t="shared" si="0"/>
        <v>30394.539015342336</v>
      </c>
      <c r="F16" s="123">
        <f t="shared" si="2"/>
        <v>2.9435482323777147</v>
      </c>
      <c r="G16" s="54">
        <f t="shared" si="3"/>
        <v>1.0796157354153617</v>
      </c>
      <c r="H16" s="39">
        <v>1995</v>
      </c>
      <c r="I16" s="38">
        <f>D19*'Escapement Age'!B18</f>
        <v>3501.015751865993</v>
      </c>
      <c r="J16" s="39">
        <v>1996</v>
      </c>
      <c r="K16" s="38">
        <f>D20*'Escapement Age'!C19</f>
        <v>5969.3498686834473</v>
      </c>
      <c r="L16" s="39">
        <v>1997</v>
      </c>
      <c r="M16" s="38">
        <f>D21*'Escapement Age'!D20</f>
        <v>13849.301735132211</v>
      </c>
      <c r="N16" s="39">
        <v>1998</v>
      </c>
      <c r="O16" s="40">
        <f>O54</f>
        <v>7074.8716596606828</v>
      </c>
      <c r="P16" s="39">
        <v>1999</v>
      </c>
      <c r="Q16" s="38">
        <f>D23*'Escapement Age'!G22</f>
        <v>0</v>
      </c>
      <c r="R16" s="39">
        <v>2000</v>
      </c>
      <c r="S16" s="38">
        <f>D24*'Escapement Age'!H23</f>
        <v>0</v>
      </c>
      <c r="U16" s="28"/>
      <c r="V16" s="31">
        <f t="shared" si="4"/>
        <v>10.325816536999801</v>
      </c>
      <c r="W16" s="31">
        <f t="shared" si="5"/>
        <v>30.394539015342335</v>
      </c>
      <c r="X16" s="28"/>
      <c r="Y16" s="28"/>
      <c r="Z16" s="28"/>
    </row>
    <row r="17" spans="1:30">
      <c r="A17" s="27">
        <v>1993</v>
      </c>
      <c r="B17" s="21">
        <f>'Summary Data'!C23</f>
        <v>25018.47288086998</v>
      </c>
      <c r="C17" s="21">
        <f>'Summary Data'!G23</f>
        <v>2456</v>
      </c>
      <c r="D17" s="21">
        <f t="shared" si="1"/>
        <v>27474.47288086998</v>
      </c>
      <c r="E17" s="122">
        <f t="shared" si="0"/>
        <v>25493.901483797719</v>
      </c>
      <c r="F17" s="123">
        <f t="shared" si="2"/>
        <v>1.0190031024352117</v>
      </c>
      <c r="G17" s="54">
        <f t="shared" si="3"/>
        <v>1.8824798823992021E-2</v>
      </c>
      <c r="H17" s="39">
        <v>1996</v>
      </c>
      <c r="I17" s="38">
        <f>D20*'Escapement Age'!B19</f>
        <v>714.5356451291907</v>
      </c>
      <c r="J17" s="39">
        <v>1997</v>
      </c>
      <c r="K17" s="38">
        <f>D21*'Escapement Age'!C20</f>
        <v>4034.6106294496731</v>
      </c>
      <c r="L17" s="39">
        <v>1998</v>
      </c>
      <c r="M17" s="40">
        <f>M55</f>
        <v>10572.156002253243</v>
      </c>
      <c r="N17" s="39">
        <v>1999</v>
      </c>
      <c r="O17" s="38">
        <f>D23*'Escapement Age'!F22</f>
        <v>10172.599206965613</v>
      </c>
      <c r="P17" s="39">
        <v>2000</v>
      </c>
      <c r="Q17" s="38">
        <f>D24*'Escapement Age'!G23</f>
        <v>0</v>
      </c>
      <c r="R17" s="39">
        <v>2001</v>
      </c>
      <c r="S17" s="38">
        <f>D25*'Escapement Age'!H24</f>
        <v>0</v>
      </c>
      <c r="U17" s="28"/>
      <c r="V17" s="31">
        <f t="shared" si="4"/>
        <v>25.018472880869979</v>
      </c>
      <c r="W17" s="31">
        <f t="shared" si="5"/>
        <v>25.493901483797718</v>
      </c>
      <c r="X17" s="28"/>
      <c r="Y17" s="28"/>
      <c r="Z17" s="28"/>
    </row>
    <row r="18" spans="1:30">
      <c r="A18" s="27">
        <v>1994</v>
      </c>
      <c r="B18" s="21">
        <f>'Summary Data'!C24</f>
        <v>39710.382989154925</v>
      </c>
      <c r="C18" s="21">
        <f>'Summary Data'!G24</f>
        <v>4841</v>
      </c>
      <c r="D18" s="21">
        <f t="shared" si="1"/>
        <v>44551.382989154925</v>
      </c>
      <c r="E18" s="122">
        <f t="shared" si="0"/>
        <v>86768.220122406594</v>
      </c>
      <c r="F18" s="123">
        <f t="shared" si="2"/>
        <v>2.1850260206783543</v>
      </c>
      <c r="G18" s="54">
        <f t="shared" si="3"/>
        <v>0.78162773725392343</v>
      </c>
      <c r="H18" s="39">
        <v>1997</v>
      </c>
      <c r="I18" s="38">
        <f>D21*'Escapement Age'!B20</f>
        <v>929.96344295825793</v>
      </c>
      <c r="J18" s="39">
        <v>1998</v>
      </c>
      <c r="K18" s="40">
        <f>K56</f>
        <v>29391.067078838438</v>
      </c>
      <c r="L18" s="39">
        <v>1999</v>
      </c>
      <c r="M18" s="38">
        <f>D23*'Escapement Age'!D22</f>
        <v>56256.007172189231</v>
      </c>
      <c r="N18" s="39">
        <v>2000</v>
      </c>
      <c r="O18" s="38">
        <f>D24*'Escapement Age'!F23</f>
        <v>191.18242842066761</v>
      </c>
      <c r="P18" s="39">
        <v>2001</v>
      </c>
      <c r="Q18" s="38">
        <f>D25*'Escapement Age'!G24</f>
        <v>0</v>
      </c>
      <c r="R18" s="39">
        <v>2002</v>
      </c>
      <c r="S18" s="38">
        <f>D26*'Escapement Age'!H25</f>
        <v>0</v>
      </c>
      <c r="U18" s="28"/>
      <c r="V18" s="31">
        <f t="shared" si="4"/>
        <v>39.710382989154922</v>
      </c>
      <c r="W18" s="31">
        <f t="shared" si="5"/>
        <v>86.768220122406589</v>
      </c>
      <c r="X18" s="28"/>
      <c r="Y18" s="28"/>
      <c r="Z18" s="28"/>
    </row>
    <row r="19" spans="1:30">
      <c r="A19" s="27">
        <v>1995</v>
      </c>
      <c r="B19" s="21">
        <f>'Summary Data'!C25</f>
        <v>34797.618320235895</v>
      </c>
      <c r="C19" s="21">
        <f>'Summary Data'!G25</f>
        <v>3614</v>
      </c>
      <c r="D19" s="21">
        <f t="shared" si="1"/>
        <v>38411.618320235895</v>
      </c>
      <c r="E19" s="122">
        <f t="shared" si="0"/>
        <v>3127.6892344957482</v>
      </c>
      <c r="F19" s="123">
        <f t="shared" si="2"/>
        <v>8.9882278887946185E-2</v>
      </c>
      <c r="G19" s="54">
        <f t="shared" si="3"/>
        <v>-2.4092544772028779</v>
      </c>
      <c r="H19" s="39">
        <v>1998</v>
      </c>
      <c r="I19" s="40">
        <f>I57</f>
        <v>19.508785496990185</v>
      </c>
      <c r="J19" s="39">
        <v>1999</v>
      </c>
      <c r="K19" s="38">
        <f>D23*'Escapement Age'!C22</f>
        <v>1022.3717795945339</v>
      </c>
      <c r="L19" s="39">
        <v>2000</v>
      </c>
      <c r="M19" s="38">
        <f>D24*'Escapement Age'!D23</f>
        <v>1977.8277416376211</v>
      </c>
      <c r="N19" s="39">
        <v>2001</v>
      </c>
      <c r="O19" s="38">
        <f>D25*'Escapement Age'!F24</f>
        <v>72.467805383255538</v>
      </c>
      <c r="P19" s="39">
        <v>2002</v>
      </c>
      <c r="Q19" s="38">
        <f>D26*'Escapement Age'!G25</f>
        <v>35.513122383347827</v>
      </c>
      <c r="R19" s="39">
        <v>2003</v>
      </c>
      <c r="S19" s="38">
        <f>D27*'Escapement Age'!H26</f>
        <v>0</v>
      </c>
      <c r="U19" s="28"/>
      <c r="V19" s="31">
        <f t="shared" si="4"/>
        <v>34.797618320235898</v>
      </c>
      <c r="W19" s="31">
        <f t="shared" si="5"/>
        <v>3.1276892344957483</v>
      </c>
      <c r="X19" s="28"/>
      <c r="Y19" s="28"/>
      <c r="Z19" s="28"/>
    </row>
    <row r="20" spans="1:30">
      <c r="A20" s="27">
        <v>1996</v>
      </c>
      <c r="B20" s="21">
        <f>'Summary Data'!C26</f>
        <v>19209.334767083867</v>
      </c>
      <c r="C20" s="21">
        <f>'Summary Data'!G26</f>
        <v>4415</v>
      </c>
      <c r="D20" s="21">
        <f t="shared" si="1"/>
        <v>23624.334767083867</v>
      </c>
      <c r="E20" s="122">
        <f t="shared" si="0"/>
        <v>6117.2079899101018</v>
      </c>
      <c r="F20" s="123">
        <f t="shared" si="2"/>
        <v>0.3184497570625005</v>
      </c>
      <c r="G20" s="54">
        <f t="shared" si="3"/>
        <v>-1.1442905650399142</v>
      </c>
      <c r="H20" s="39">
        <v>1999</v>
      </c>
      <c r="I20" s="38">
        <f>D23*'Escapement Age'!B22</f>
        <v>153.35576693918009</v>
      </c>
      <c r="J20" s="39">
        <v>2000</v>
      </c>
      <c r="K20" s="38">
        <f>D24*'Escapement Age'!C23</f>
        <v>846.66504014867098</v>
      </c>
      <c r="L20" s="39">
        <v>2001</v>
      </c>
      <c r="M20" s="38">
        <f>D25*'Escapement Age'!D24</f>
        <v>2491.0808100494091</v>
      </c>
      <c r="N20" s="39">
        <v>2002</v>
      </c>
      <c r="O20" s="38">
        <f>D26*'Escapement Age'!F25</f>
        <v>2545.1071041399273</v>
      </c>
      <c r="P20" s="39">
        <v>2003</v>
      </c>
      <c r="Q20" s="38">
        <f>D27*'Escapement Age'!G26</f>
        <v>80.999268632914365</v>
      </c>
      <c r="R20" s="39">
        <v>2004</v>
      </c>
      <c r="S20" s="38">
        <f>D28*'Escapement Age'!H27</f>
        <v>0</v>
      </c>
      <c r="U20" s="28"/>
      <c r="V20" s="31">
        <f t="shared" si="4"/>
        <v>19.209334767083867</v>
      </c>
      <c r="W20" s="31">
        <f t="shared" si="5"/>
        <v>6.117207989910102</v>
      </c>
      <c r="X20" s="28"/>
      <c r="Y20" s="28"/>
      <c r="Z20" s="28"/>
    </row>
    <row r="21" spans="1:30">
      <c r="A21" s="27">
        <v>1997</v>
      </c>
      <c r="B21" s="21">
        <f>'Summary Data'!C27</f>
        <v>28898.406062239013</v>
      </c>
      <c r="C21" s="21">
        <f>'Summary Data'!G27</f>
        <v>3822</v>
      </c>
      <c r="D21" s="21">
        <f t="shared" si="1"/>
        <v>32720.406062239013</v>
      </c>
      <c r="E21" s="122">
        <f t="shared" si="0"/>
        <v>15850.01650714493</v>
      </c>
      <c r="F21" s="123">
        <f t="shared" si="2"/>
        <v>0.54847372803221284</v>
      </c>
      <c r="G21" s="54">
        <f t="shared" si="3"/>
        <v>-0.60061589825863437</v>
      </c>
      <c r="H21" s="39">
        <v>2000</v>
      </c>
      <c r="I21" s="38">
        <f>D24*'Escapement Age'!B23</f>
        <v>81.935326466000404</v>
      </c>
      <c r="J21" s="39">
        <v>2001</v>
      </c>
      <c r="K21" s="38">
        <f>D25*'Escapement Age'!C24</f>
        <v>957.17892943716697</v>
      </c>
      <c r="L21" s="39">
        <v>2002</v>
      </c>
      <c r="M21" s="38">
        <f>D26*'Escapement Age'!D25</f>
        <v>2296.5152474564929</v>
      </c>
      <c r="N21" s="39">
        <v>2003</v>
      </c>
      <c r="O21" s="38">
        <f>D27*'Escapement Age'!F26</f>
        <v>12514.38700378527</v>
      </c>
      <c r="P21" s="39">
        <v>2004</v>
      </c>
      <c r="Q21" s="38">
        <f>D28*'Escapement Age'!G27</f>
        <v>0</v>
      </c>
      <c r="R21" s="39">
        <v>2005</v>
      </c>
      <c r="S21" s="38">
        <f>D29*'Escapement Age'!H28</f>
        <v>0</v>
      </c>
      <c r="U21" s="28"/>
      <c r="V21" s="31">
        <f t="shared" si="4"/>
        <v>28.898406062239012</v>
      </c>
      <c r="W21" s="31">
        <f t="shared" si="5"/>
        <v>15.850016507144931</v>
      </c>
      <c r="X21" s="28"/>
      <c r="Y21" s="28"/>
      <c r="Z21" s="28"/>
    </row>
    <row r="22" spans="1:30">
      <c r="A22" s="27">
        <v>1998</v>
      </c>
      <c r="B22" s="23">
        <f>D22-C22</f>
        <v>41067.252799316542</v>
      </c>
      <c r="C22" s="21">
        <f>'Summary Data'!G28</f>
        <v>6030</v>
      </c>
      <c r="D22" s="23">
        <f>SUM(I19,K18,M17,O16,Q15,S14)</f>
        <v>47097.252799316542</v>
      </c>
      <c r="E22" s="122">
        <f t="shared" si="0"/>
        <v>22823.514547738341</v>
      </c>
      <c r="F22" s="123">
        <f t="shared" si="2"/>
        <v>0.55575946750736094</v>
      </c>
      <c r="G22" s="54">
        <f t="shared" si="3"/>
        <v>-0.58741969073212752</v>
      </c>
      <c r="H22" s="39">
        <v>2001</v>
      </c>
      <c r="I22" s="38">
        <f>D25*'Escapement Age'!B24</f>
        <v>138.89662698457312</v>
      </c>
      <c r="J22" s="39">
        <v>2002</v>
      </c>
      <c r="K22" s="38">
        <f>D26*'Escapement Age'!C25</f>
        <v>10251.454661326405</v>
      </c>
      <c r="L22" s="39">
        <v>2003</v>
      </c>
      <c r="M22" s="38">
        <f>D27*'Escapement Age'!D26</f>
        <v>6601.4403935825212</v>
      </c>
      <c r="N22" s="39">
        <v>2004</v>
      </c>
      <c r="O22" s="38">
        <f>D28*'Escapement Age'!F27</f>
        <v>5771.7462109022999</v>
      </c>
      <c r="P22" s="39">
        <v>2005</v>
      </c>
      <c r="Q22" s="38">
        <f>D29*'Escapement Age'!G28</f>
        <v>59.976654942545792</v>
      </c>
      <c r="R22" s="39">
        <v>2006</v>
      </c>
      <c r="S22" s="38">
        <f>D30*'Escapement Age'!H29</f>
        <v>0</v>
      </c>
      <c r="U22" s="28"/>
      <c r="V22" s="31">
        <f t="shared" si="4"/>
        <v>41.067252799316542</v>
      </c>
      <c r="W22" s="31">
        <f t="shared" si="5"/>
        <v>22.823514547738341</v>
      </c>
      <c r="X22" s="28"/>
      <c r="Y22" s="28"/>
      <c r="Z22" s="28"/>
    </row>
    <row r="23" spans="1:30">
      <c r="A23" s="27">
        <v>1999</v>
      </c>
      <c r="B23" s="21">
        <f>'Summary Data'!C29</f>
        <v>57753.571103648006</v>
      </c>
      <c r="C23" s="21">
        <f>'Summary Data'!G29</f>
        <v>9953</v>
      </c>
      <c r="D23" s="21">
        <f t="shared" si="1"/>
        <v>67706.571103648006</v>
      </c>
      <c r="E23" s="122">
        <f t="shared" si="0"/>
        <v>58871.656674384467</v>
      </c>
      <c r="F23" s="123">
        <f t="shared" si="2"/>
        <v>1.0193595919589089</v>
      </c>
      <c r="G23" s="54">
        <f t="shared" si="3"/>
        <v>1.9174579094512242E-2</v>
      </c>
      <c r="H23" s="39">
        <v>2002</v>
      </c>
      <c r="I23" s="38">
        <f>D26*'Escapement Age'!B25</f>
        <v>47.35082984446376</v>
      </c>
      <c r="J23" s="39">
        <v>2003</v>
      </c>
      <c r="K23" s="38">
        <f>D27*'Escapement Age'!C26</f>
        <v>4373.9605061773764</v>
      </c>
      <c r="L23" s="39">
        <v>2004</v>
      </c>
      <c r="M23" s="38">
        <f>D28*'Escapement Age'!D27</f>
        <v>48482.668171579317</v>
      </c>
      <c r="N23" s="39">
        <v>2005</v>
      </c>
      <c r="O23" s="38">
        <f>D29*'Escapement Age'!F28</f>
        <v>5967.6771667833073</v>
      </c>
      <c r="P23" s="39">
        <v>2006</v>
      </c>
      <c r="Q23" s="38">
        <f>D30*'Escapement Age'!G29</f>
        <v>0</v>
      </c>
      <c r="R23" s="39">
        <v>2007</v>
      </c>
      <c r="S23" s="38">
        <f>D31*'Escapement Age'!H30</f>
        <v>0</v>
      </c>
      <c r="U23" s="28"/>
      <c r="V23" s="31">
        <f t="shared" si="4"/>
        <v>57.753571103648007</v>
      </c>
      <c r="W23" s="31">
        <f t="shared" si="5"/>
        <v>58.871656674384468</v>
      </c>
      <c r="X23" s="28"/>
      <c r="Y23" s="28"/>
      <c r="Z23" s="28"/>
    </row>
    <row r="24" spans="1:30" ht="15" thickBot="1">
      <c r="A24" s="27">
        <v>2000</v>
      </c>
      <c r="B24" s="21">
        <f>'Summary Data'!C30</f>
        <v>3032.1982934523489</v>
      </c>
      <c r="C24" s="21">
        <f>'Summary Data'!G30</f>
        <v>95</v>
      </c>
      <c r="D24" s="21">
        <f t="shared" si="1"/>
        <v>3127.1982934523489</v>
      </c>
      <c r="E24" s="122">
        <f t="shared" si="0"/>
        <v>75794.483143423742</v>
      </c>
      <c r="F24" s="123">
        <f t="shared" si="2"/>
        <v>24.996545676808935</v>
      </c>
      <c r="G24" s="54">
        <f t="shared" si="3"/>
        <v>3.2187376423937999</v>
      </c>
      <c r="H24" s="39">
        <v>2003</v>
      </c>
      <c r="I24" s="38">
        <f>D27*'Escapement Age'!B26</f>
        <v>40.499634316457183</v>
      </c>
      <c r="J24" s="39">
        <v>2004</v>
      </c>
      <c r="K24" s="38">
        <f>D28*'Escapement Age'!C27</f>
        <v>31552.212619599242</v>
      </c>
      <c r="L24" s="39">
        <v>2005</v>
      </c>
      <c r="M24" s="38">
        <f>D29*'Escapement Age'!D28</f>
        <v>31997.545411848183</v>
      </c>
      <c r="N24" s="39">
        <v>2006</v>
      </c>
      <c r="O24" s="38">
        <f>D30*'Escapement Age'!F29</f>
        <v>12027.387335986794</v>
      </c>
      <c r="P24" s="39">
        <v>2007</v>
      </c>
      <c r="Q24" s="38">
        <f>D31*'Escapement Age'!G30</f>
        <v>176.83814167307321</v>
      </c>
      <c r="R24" s="39">
        <v>2008</v>
      </c>
      <c r="S24" s="38">
        <f>D32*'Escapement Age'!H31</f>
        <v>0</v>
      </c>
      <c r="U24" s="28"/>
      <c r="V24" s="31">
        <f t="shared" si="4"/>
        <v>3.0321982934523488</v>
      </c>
      <c r="W24" s="31">
        <f t="shared" si="5"/>
        <v>75.794483143423747</v>
      </c>
      <c r="X24" s="28"/>
      <c r="Y24" s="28"/>
      <c r="Z24" s="77"/>
      <c r="AA24" s="70" t="s">
        <v>79</v>
      </c>
      <c r="AB24" s="74"/>
      <c r="AC24" s="77"/>
    </row>
    <row r="25" spans="1:30">
      <c r="A25" s="27">
        <v>2001</v>
      </c>
      <c r="B25" s="21">
        <f>'Summary Data'!C31</f>
        <v>3666.9945177828154</v>
      </c>
      <c r="C25" s="21">
        <f>'Summary Data'!G31</f>
        <v>50</v>
      </c>
      <c r="D25" s="21">
        <f t="shared" si="1"/>
        <v>3716.9945177828154</v>
      </c>
      <c r="E25" s="122">
        <f t="shared" si="0"/>
        <v>54521.729565675319</v>
      </c>
      <c r="F25" s="123">
        <f t="shared" si="2"/>
        <v>14.868233181499528</v>
      </c>
      <c r="G25" s="54">
        <f t="shared" si="3"/>
        <v>2.699226935759663</v>
      </c>
      <c r="H25" s="39">
        <v>2004</v>
      </c>
      <c r="I25" s="38">
        <f>D28*'Escapement Age'!B27</f>
        <v>979.44784185008734</v>
      </c>
      <c r="J25" s="39">
        <v>2005</v>
      </c>
      <c r="K25" s="38">
        <f>D29*'Escapement Age'!C28</f>
        <v>18652.739687131743</v>
      </c>
      <c r="L25" s="39">
        <v>2006</v>
      </c>
      <c r="M25" s="38">
        <f>D30*'Escapement Age'!D29</f>
        <v>24054.774671973588</v>
      </c>
      <c r="N25" s="39">
        <v>2007</v>
      </c>
      <c r="O25" s="38">
        <f>D31*'Escapement Age'!F30</f>
        <v>10787.126642057465</v>
      </c>
      <c r="P25" s="39">
        <v>2008</v>
      </c>
      <c r="Q25" s="38">
        <f>D32*'Escapement Age'!G31</f>
        <v>47.640722662436126</v>
      </c>
      <c r="R25" s="39">
        <v>2009</v>
      </c>
      <c r="S25" s="38">
        <f>D33*'Escapement Age'!H32</f>
        <v>0</v>
      </c>
      <c r="U25" s="28"/>
      <c r="V25" s="31">
        <f t="shared" si="4"/>
        <v>3.6669945177828152</v>
      </c>
      <c r="W25" s="31">
        <f t="shared" si="5"/>
        <v>54.521729565675322</v>
      </c>
      <c r="X25" s="28"/>
      <c r="Y25" s="28" t="s">
        <v>90</v>
      </c>
      <c r="Z25" s="71" t="s">
        <v>80</v>
      </c>
      <c r="AA25" s="79">
        <f t="array" ref="AA25:AB29">LINEST(G6:G34,B6:B34,1,1)</f>
        <v>-4.0440585453391332E-5</v>
      </c>
      <c r="AB25" s="76">
        <v>1.4149318886897484</v>
      </c>
      <c r="AC25" s="77" t="s">
        <v>81</v>
      </c>
      <c r="AD25" s="22" t="s">
        <v>89</v>
      </c>
    </row>
    <row r="26" spans="1:30">
      <c r="A26" s="27">
        <v>2002</v>
      </c>
      <c r="B26" s="21">
        <f>'Summary Data'!C32</f>
        <v>23987.72021155481</v>
      </c>
      <c r="C26" s="21">
        <f>'Summary Data'!G32</f>
        <v>1416</v>
      </c>
      <c r="D26" s="21">
        <f t="shared" si="1"/>
        <v>25403.72021155481</v>
      </c>
      <c r="E26" s="122">
        <f t="shared" si="0"/>
        <v>136786.52361315256</v>
      </c>
      <c r="F26" s="123">
        <f t="shared" si="2"/>
        <v>5.7023561391741984</v>
      </c>
      <c r="G26" s="54">
        <f t="shared" si="3"/>
        <v>1.7408794471815845</v>
      </c>
      <c r="H26" s="39">
        <v>2005</v>
      </c>
      <c r="I26" s="38">
        <f>D29*'Escapement Age'!B28</f>
        <v>1409.4513911498261</v>
      </c>
      <c r="J26" s="39">
        <v>2006</v>
      </c>
      <c r="K26" s="38">
        <f>D30*'Escapement Age'!C29</f>
        <v>70159.759459922963</v>
      </c>
      <c r="L26" s="39">
        <v>2007</v>
      </c>
      <c r="M26" s="38">
        <f>D31*'Escapement Age'!D30</f>
        <v>62954.37843561406</v>
      </c>
      <c r="N26" s="39">
        <v>2008</v>
      </c>
      <c r="O26" s="38">
        <f>D32*'Escapement Age'!F31</f>
        <v>2262.9343264657159</v>
      </c>
      <c r="P26" s="39">
        <v>2009</v>
      </c>
      <c r="Q26" s="38">
        <f>D33*'Escapement Age'!G32</f>
        <v>0</v>
      </c>
      <c r="R26" s="39">
        <v>2010</v>
      </c>
      <c r="S26" s="38">
        <f>D34*'Escapement Age'!H33</f>
        <v>0</v>
      </c>
      <c r="U26" s="28"/>
      <c r="V26" s="31">
        <f t="shared" si="4"/>
        <v>23.987720211554809</v>
      </c>
      <c r="W26" s="31">
        <f t="shared" si="5"/>
        <v>136.78652361315255</v>
      </c>
      <c r="X26" s="28"/>
      <c r="Y26" s="28"/>
      <c r="Z26" s="71" t="s">
        <v>82</v>
      </c>
      <c r="AA26" s="73">
        <v>7.0512579948378973E-6</v>
      </c>
      <c r="AB26" s="81">
        <v>0.29379417133029567</v>
      </c>
      <c r="AC26" s="77" t="s">
        <v>82</v>
      </c>
    </row>
    <row r="27" spans="1:30">
      <c r="A27" s="27">
        <v>2003</v>
      </c>
      <c r="B27" s="21">
        <f>'Summary Data'!C33</f>
        <v>69892.769729965003</v>
      </c>
      <c r="C27" s="21">
        <f>'Summary Data'!G33</f>
        <v>10985</v>
      </c>
      <c r="D27" s="21">
        <f t="shared" si="1"/>
        <v>80877.769729965003</v>
      </c>
      <c r="E27" s="122">
        <f t="shared" si="0"/>
        <v>11302.986749069696</v>
      </c>
      <c r="F27" s="123">
        <f t="shared" si="2"/>
        <v>0.1617189702560004</v>
      </c>
      <c r="G27" s="54">
        <f t="shared" si="3"/>
        <v>-1.8218952016797501</v>
      </c>
      <c r="H27" s="39">
        <v>2006</v>
      </c>
      <c r="I27" s="38">
        <f>D30*'Escapement Age'!B29</f>
        <v>0</v>
      </c>
      <c r="J27" s="39">
        <v>2007</v>
      </c>
      <c r="K27" s="38">
        <f>D31*'Escapement Age'!C30</f>
        <v>4597.7916834999032</v>
      </c>
      <c r="L27" s="39">
        <v>2008</v>
      </c>
      <c r="M27" s="38">
        <f>D32*'Escapement Age'!D31</f>
        <v>6312.3957527727862</v>
      </c>
      <c r="N27" s="39">
        <v>2009</v>
      </c>
      <c r="O27" s="38">
        <f>D33*'Escapement Age'!F32</f>
        <v>392.79931279700816</v>
      </c>
      <c r="P27" s="39">
        <v>2010</v>
      </c>
      <c r="Q27" s="38">
        <f>D34*'Escapement Age'!G33</f>
        <v>0</v>
      </c>
      <c r="R27" s="39">
        <v>2011</v>
      </c>
      <c r="S27" s="38">
        <f>D35*'Escapement Age'!H34</f>
        <v>0</v>
      </c>
      <c r="U27" s="28"/>
      <c r="V27" s="31">
        <f t="shared" si="4"/>
        <v>69.892769729964996</v>
      </c>
      <c r="W27" s="31">
        <f t="shared" si="5"/>
        <v>11.302986749069696</v>
      </c>
      <c r="X27" s="28"/>
      <c r="Y27" s="28"/>
      <c r="Z27" s="71" t="s">
        <v>83</v>
      </c>
      <c r="AA27" s="78">
        <v>0.5491950248274875</v>
      </c>
      <c r="AB27" s="81">
        <v>1.0346922110092431</v>
      </c>
      <c r="AC27" s="77" t="s">
        <v>84</v>
      </c>
      <c r="AD27" s="22" t="s">
        <v>91</v>
      </c>
    </row>
    <row r="28" spans="1:30">
      <c r="A28" s="27">
        <v>2004</v>
      </c>
      <c r="B28" s="21">
        <f>'Summary Data'!C34</f>
        <v>77262.733888424016</v>
      </c>
      <c r="C28" s="21">
        <f>'Summary Data'!G34</f>
        <v>11902</v>
      </c>
      <c r="D28" s="21">
        <f t="shared" si="1"/>
        <v>89164.733888424016</v>
      </c>
      <c r="E28" s="122">
        <f t="shared" si="0"/>
        <v>10599.713516070229</v>
      </c>
      <c r="F28" s="123">
        <f t="shared" si="2"/>
        <v>0.13719050546900649</v>
      </c>
      <c r="G28" s="54">
        <f t="shared" si="3"/>
        <v>-1.9863847682058733</v>
      </c>
      <c r="H28" s="39">
        <v>2007</v>
      </c>
      <c r="I28" s="38">
        <f>D31*'Escapement Age'!B30</f>
        <v>0</v>
      </c>
      <c r="J28" s="39">
        <v>2008</v>
      </c>
      <c r="K28" s="38">
        <f>D32*'Escapement Age'!C31</f>
        <v>1691.2456545164825</v>
      </c>
      <c r="L28" s="39">
        <v>2009</v>
      </c>
      <c r="M28" s="38">
        <f>D33*'Escapement Age'!D32</f>
        <v>5650.2670379261945</v>
      </c>
      <c r="N28" s="39">
        <v>2010</v>
      </c>
      <c r="O28" s="38">
        <f>D34*'Escapement Age'!F33</f>
        <v>3258.2008236275524</v>
      </c>
      <c r="P28" s="39">
        <v>2011</v>
      </c>
      <c r="Q28" s="38">
        <f>D35*'Escapement Age'!G34</f>
        <v>0</v>
      </c>
      <c r="R28" s="39">
        <v>2012</v>
      </c>
      <c r="S28" s="38">
        <f>D36*'Escapement Age'!H35</f>
        <v>0</v>
      </c>
      <c r="V28" s="31">
        <f t="shared" si="4"/>
        <v>77.262733888424023</v>
      </c>
      <c r="W28" s="31">
        <f t="shared" si="5"/>
        <v>10.59971351607023</v>
      </c>
      <c r="Z28" s="71" t="s">
        <v>85</v>
      </c>
      <c r="AA28" s="78">
        <v>32.892861629727435</v>
      </c>
      <c r="AB28" s="75">
        <v>27</v>
      </c>
      <c r="AC28" s="77" t="s">
        <v>86</v>
      </c>
    </row>
    <row r="29" spans="1:30" ht="15" thickBot="1">
      <c r="A29" s="27">
        <v>2005</v>
      </c>
      <c r="B29" s="21">
        <f>'Summary Data'!C35</f>
        <v>65653.382797031678</v>
      </c>
      <c r="C29" s="21">
        <f>'Summary Data'!G35</f>
        <v>5299</v>
      </c>
      <c r="D29" s="21">
        <f t="shared" si="1"/>
        <v>70952.382797031678</v>
      </c>
      <c r="E29" s="122">
        <f t="shared" ref="E29:E33" si="6">SUM(I29,K29,M29,O29,Q29,S29)</f>
        <v>6836.1178809329049</v>
      </c>
      <c r="F29" s="123">
        <f t="shared" ref="F29:F30" si="7">E29/B29</f>
        <v>0.10412438155802049</v>
      </c>
      <c r="G29" s="54">
        <f t="shared" ref="G29:G30" si="8">LN(F29)</f>
        <v>-2.2621691179315393</v>
      </c>
      <c r="H29" s="39">
        <v>2008</v>
      </c>
      <c r="I29" s="38">
        <f>D32*'Escapement Age'!B31</f>
        <v>23.820361331218063</v>
      </c>
      <c r="J29" s="39">
        <v>2009</v>
      </c>
      <c r="K29" s="38">
        <f>D33*'Escapement Age'!C32</f>
        <v>1571.1972511880326</v>
      </c>
      <c r="L29" s="39">
        <v>2010</v>
      </c>
      <c r="M29" s="38">
        <f>D34*'Escapement Age'!D33</f>
        <v>1823.040937029702</v>
      </c>
      <c r="N29" s="39">
        <v>2011</v>
      </c>
      <c r="O29" s="38">
        <f>D35*'Escapement Age'!F34</f>
        <v>3418.0593313839527</v>
      </c>
      <c r="P29" s="39">
        <v>2012</v>
      </c>
      <c r="Q29" s="38">
        <f>D36*'Escapement Age'!G35</f>
        <v>0</v>
      </c>
      <c r="R29" s="39">
        <v>2013</v>
      </c>
      <c r="S29" s="38">
        <f>D37*'Escapement Age'!H36</f>
        <v>0</v>
      </c>
      <c r="V29" s="31">
        <f t="shared" ref="V29:V30" si="9">B29/1000</f>
        <v>65.653382797031682</v>
      </c>
      <c r="W29" s="31">
        <f t="shared" ref="W29:W30" si="10">E29/1000</f>
        <v>6.8361178809329051</v>
      </c>
      <c r="Z29" s="71" t="s">
        <v>87</v>
      </c>
      <c r="AA29" s="72">
        <v>35.214702009763073</v>
      </c>
      <c r="AB29" s="80">
        <v>28.905875231126299</v>
      </c>
      <c r="AC29" s="77" t="s">
        <v>88</v>
      </c>
    </row>
    <row r="30" spans="1:30">
      <c r="A30" s="27">
        <v>2006</v>
      </c>
      <c r="B30" s="21">
        <f>'Summary Data'!C36</f>
        <v>103952.85531936215</v>
      </c>
      <c r="C30" s="21">
        <f>'Summary Data'!G36</f>
        <v>21583</v>
      </c>
      <c r="D30" s="21">
        <f t="shared" si="1"/>
        <v>125535.85531936215</v>
      </c>
      <c r="E30" s="122">
        <f t="shared" si="6"/>
        <v>26358.973554181382</v>
      </c>
      <c r="F30" s="123">
        <f t="shared" si="7"/>
        <v>0.2535666141464013</v>
      </c>
      <c r="G30" s="54">
        <f t="shared" si="8"/>
        <v>-1.3721287127730757</v>
      </c>
      <c r="H30" s="39">
        <v>2009</v>
      </c>
      <c r="I30" s="38">
        <f>D33*'Escapement Age'!B32</f>
        <v>604.30663507232032</v>
      </c>
      <c r="J30" s="39">
        <v>2010</v>
      </c>
      <c r="K30" s="38">
        <f>D34*'Escapement Age'!C33</f>
        <v>11054.609937307767</v>
      </c>
      <c r="L30" s="39">
        <v>2011</v>
      </c>
      <c r="M30" s="38">
        <f>D35*'Escapement Age'!D34</f>
        <v>12793.307783179936</v>
      </c>
      <c r="N30" s="39">
        <v>2012</v>
      </c>
      <c r="O30" s="38">
        <f>D36*'Escapement Age'!F35</f>
        <v>1906.7491986213618</v>
      </c>
      <c r="P30" s="39">
        <v>2013</v>
      </c>
      <c r="Q30" s="38">
        <f>D37*'Escapement Age'!G36</f>
        <v>0</v>
      </c>
      <c r="R30" s="39">
        <v>2014</v>
      </c>
      <c r="S30" s="38">
        <f>D38*'Escapement Age'!H37</f>
        <v>0</v>
      </c>
      <c r="V30" s="31">
        <f t="shared" si="9"/>
        <v>103.95285531936214</v>
      </c>
      <c r="W30" s="31">
        <f t="shared" si="10"/>
        <v>26.358973554181382</v>
      </c>
      <c r="Z30" s="74"/>
      <c r="AA30" s="69"/>
      <c r="AB30" s="74"/>
      <c r="AC30" s="74"/>
    </row>
    <row r="31" spans="1:30">
      <c r="A31" s="27">
        <v>2007</v>
      </c>
      <c r="B31" s="21">
        <f>'Summary Data'!C37</f>
        <v>66938.383311286743</v>
      </c>
      <c r="C31" s="21">
        <f>'Summary Data'!G37</f>
        <v>14584</v>
      </c>
      <c r="D31" s="21">
        <f t="shared" si="1"/>
        <v>81522.383311286743</v>
      </c>
      <c r="E31" s="122">
        <f t="shared" si="6"/>
        <v>14450.559705353613</v>
      </c>
      <c r="F31" s="123">
        <f t="shared" ref="F31:F33" si="11">E31/B31</f>
        <v>0.2158785287381903</v>
      </c>
      <c r="G31" s="54">
        <f t="shared" ref="G31:G33" si="12">LN(F31)</f>
        <v>-1.5330393964383986</v>
      </c>
      <c r="H31" s="39">
        <v>2010</v>
      </c>
      <c r="I31" s="38">
        <f>D34*'Escapement Age'!B33</f>
        <v>0</v>
      </c>
      <c r="J31" s="39">
        <v>2011</v>
      </c>
      <c r="K31" s="38">
        <f>D35*'Escapement Age'!C34</f>
        <v>3418.0593313839527</v>
      </c>
      <c r="L31" s="39">
        <v>2012</v>
      </c>
      <c r="M31" s="38">
        <f>D36*'Escapement Age'!D35</f>
        <v>1668.4055487936917</v>
      </c>
      <c r="N31" s="39">
        <v>2013</v>
      </c>
      <c r="O31" s="38">
        <f>D37*'Escapement Age'!F36</f>
        <v>9282.3415466850911</v>
      </c>
      <c r="P31" s="39">
        <v>2014</v>
      </c>
      <c r="Q31" s="38">
        <f>D38*'Escapement Age'!G37</f>
        <v>81.753278490877236</v>
      </c>
      <c r="R31" s="39">
        <v>2015</v>
      </c>
      <c r="S31" s="38">
        <f>D39*'Escapement Age'!H38</f>
        <v>0</v>
      </c>
      <c r="V31" s="31">
        <f t="shared" ref="V31:V33" si="13">B31/1000</f>
        <v>66.938383311286742</v>
      </c>
      <c r="W31" s="31">
        <f t="shared" ref="W31:W33" si="14">E31/1000</f>
        <v>14.450559705353614</v>
      </c>
    </row>
    <row r="32" spans="1:30">
      <c r="A32" s="27">
        <v>2008</v>
      </c>
      <c r="B32" s="21">
        <f>'Summary Data'!C38</f>
        <v>10063.982960379346</v>
      </c>
      <c r="C32" s="21">
        <f>'Summary Data'!G38</f>
        <v>679</v>
      </c>
      <c r="D32" s="21">
        <f t="shared" si="1"/>
        <v>10742.982960379346</v>
      </c>
      <c r="E32" s="122">
        <f t="shared" si="6"/>
        <v>41791.207170053087</v>
      </c>
      <c r="F32" s="123">
        <f t="shared" si="11"/>
        <v>4.1525514634295284</v>
      </c>
      <c r="G32" s="54">
        <f t="shared" si="12"/>
        <v>1.4237229557890283</v>
      </c>
      <c r="H32" s="39">
        <v>2011</v>
      </c>
      <c r="I32" s="38">
        <f>D35*'Escapement Age'!B34</f>
        <v>2587.9592080478496</v>
      </c>
      <c r="J32" s="39">
        <v>2012</v>
      </c>
      <c r="K32" s="38">
        <f>D36*'Escapement Age'!C35</f>
        <v>23596.021332939352</v>
      </c>
      <c r="L32" s="39">
        <v>2013</v>
      </c>
      <c r="M32" s="38">
        <f>D37*'Escapement Age'!D36</f>
        <v>11356.056147540272</v>
      </c>
      <c r="N32" s="39">
        <v>2014</v>
      </c>
      <c r="O32" s="38">
        <f>D38*'Escapement Age'!F37</f>
        <v>4251.1704815256162</v>
      </c>
      <c r="P32" s="39">
        <v>2015</v>
      </c>
      <c r="Q32" s="38">
        <f>D39*'Escapement Age'!G38</f>
        <v>0</v>
      </c>
      <c r="R32" s="39">
        <v>2016</v>
      </c>
      <c r="S32" s="38">
        <f>D40*'Escapement Age'!H39</f>
        <v>0</v>
      </c>
      <c r="V32" s="31">
        <f t="shared" si="13"/>
        <v>10.063982960379345</v>
      </c>
      <c r="W32" s="31">
        <f t="shared" si="14"/>
        <v>41.791207170053084</v>
      </c>
      <c r="Z32" s="83" t="s">
        <v>98</v>
      </c>
      <c r="AA32" s="85">
        <f>AB25</f>
        <v>1.4149318886897484</v>
      </c>
    </row>
    <row r="33" spans="1:27">
      <c r="A33" s="27">
        <v>2009</v>
      </c>
      <c r="B33" s="21">
        <f>'Summary Data'!C39</f>
        <v>12568.76061614167</v>
      </c>
      <c r="C33" s="21">
        <f>'Summary Data'!G39</f>
        <v>1149</v>
      </c>
      <c r="D33" s="21">
        <f t="shared" si="1"/>
        <v>13717.76061614167</v>
      </c>
      <c r="E33" s="122">
        <f t="shared" si="6"/>
        <v>22514.927267238483</v>
      </c>
      <c r="F33" s="123">
        <f t="shared" si="11"/>
        <v>1.7913402884229699</v>
      </c>
      <c r="G33" s="54">
        <f t="shared" si="12"/>
        <v>0.58296410415049749</v>
      </c>
      <c r="H33" s="39">
        <v>2012</v>
      </c>
      <c r="I33" s="38">
        <f>D36*'Escapement Age'!B35</f>
        <v>3972.3941637945036</v>
      </c>
      <c r="J33" s="39">
        <v>2013</v>
      </c>
      <c r="K33" s="38">
        <f>D37*'Escapement Age'!C36</f>
        <v>9973.5797469701502</v>
      </c>
      <c r="L33" s="39">
        <v>2014</v>
      </c>
      <c r="M33" s="38">
        <f>D38*'Escapement Age'!D37</f>
        <v>8420.5876845603561</v>
      </c>
      <c r="N33" s="39">
        <v>2015</v>
      </c>
      <c r="O33" s="38">
        <f>D39*'Escapement Age'!F38</f>
        <v>148.36567191347476</v>
      </c>
      <c r="P33" s="39">
        <v>2016</v>
      </c>
      <c r="Q33" s="38">
        <f>D40*'Escapement Age'!G39</f>
        <v>0</v>
      </c>
      <c r="R33" s="39">
        <v>2017</v>
      </c>
      <c r="S33" s="38"/>
      <c r="V33" s="31">
        <f t="shared" si="13"/>
        <v>12.56876061614167</v>
      </c>
      <c r="W33" s="31">
        <f t="shared" si="14"/>
        <v>22.514927267238484</v>
      </c>
      <c r="Z33" s="83" t="s">
        <v>90</v>
      </c>
      <c r="AA33" s="86">
        <f>-AA25</f>
        <v>4.0440585453391332E-5</v>
      </c>
    </row>
    <row r="34" spans="1:27">
      <c r="A34" s="27">
        <v>2010</v>
      </c>
      <c r="B34" s="21">
        <f>'Summary Data'!C40</f>
        <v>17156.230945944797</v>
      </c>
      <c r="C34" s="21">
        <f>'Summary Data'!G40</f>
        <v>1656</v>
      </c>
      <c r="D34" s="21">
        <f t="shared" si="1"/>
        <v>18812.230945944797</v>
      </c>
      <c r="E34" s="122">
        <f t="shared" ref="E34" si="15">SUM(I34,K34,M34,O34,Q34,S34)</f>
        <v>11681.532103998503</v>
      </c>
      <c r="F34" s="123">
        <f t="shared" ref="F34" si="16">E34/B34</f>
        <v>0.68089151637117917</v>
      </c>
      <c r="G34" s="54">
        <f t="shared" ref="G34" si="17">LN(F34)</f>
        <v>-0.38435228600514426</v>
      </c>
      <c r="H34" s="39">
        <v>2013</v>
      </c>
      <c r="I34" s="38">
        <f>D37*'Escapement Age'!B36</f>
        <v>1876.2179722023054</v>
      </c>
      <c r="J34" s="39">
        <v>2014</v>
      </c>
      <c r="K34" s="38">
        <f>D38*'Escapement Age'!C37</f>
        <v>5559.2229373796526</v>
      </c>
      <c r="L34" s="39">
        <v>2015</v>
      </c>
      <c r="M34" s="38">
        <f>D39*'Escapement Age'!D38</f>
        <v>3560.7761259233939</v>
      </c>
      <c r="N34" s="39">
        <v>2016</v>
      </c>
      <c r="O34" s="38">
        <f>D40*'Escapement Age'!F39</f>
        <v>685.31506849315065</v>
      </c>
      <c r="P34" s="39">
        <v>2017</v>
      </c>
      <c r="Q34" s="38"/>
      <c r="R34" s="39">
        <v>2018</v>
      </c>
      <c r="S34" s="38"/>
      <c r="V34" s="31">
        <f t="shared" ref="V34" si="18">B34/1000</f>
        <v>17.156230945944795</v>
      </c>
      <c r="W34" s="31">
        <f t="shared" ref="W34" si="19">E34/1000</f>
        <v>11.681532103998503</v>
      </c>
      <c r="Z34" s="83" t="s">
        <v>91</v>
      </c>
      <c r="AA34" s="85">
        <f>AB27</f>
        <v>1.0346922110092431</v>
      </c>
    </row>
    <row r="35" spans="1:27">
      <c r="A35" s="27">
        <v>2011</v>
      </c>
      <c r="B35" s="21">
        <f>'Summary Data'!C41</f>
        <v>22719.73299576675</v>
      </c>
      <c r="C35" s="21">
        <f>'Summary Data'!G41</f>
        <v>1402</v>
      </c>
      <c r="D35" s="21">
        <f t="shared" ref="D35:D39" si="20">SUM(B35:C35)</f>
        <v>24121.73299576675</v>
      </c>
      <c r="E35" s="55" t="s">
        <v>70</v>
      </c>
      <c r="H35" s="39">
        <v>2014</v>
      </c>
      <c r="I35" s="38">
        <f>D38*'Escapement Age'!B37</f>
        <v>3106.6245826533345</v>
      </c>
      <c r="J35" s="39">
        <v>2015</v>
      </c>
      <c r="K35" s="38">
        <f>D39*'Escapement Age'!C38</f>
        <v>5934.6268765389896</v>
      </c>
      <c r="L35" s="39">
        <v>2016</v>
      </c>
      <c r="M35" s="38">
        <f>D40*'Escapement Age'!D39</f>
        <v>2349.6516634050881</v>
      </c>
      <c r="N35" s="39">
        <v>2017</v>
      </c>
      <c r="O35" s="38"/>
      <c r="P35" s="39">
        <v>2018</v>
      </c>
      <c r="Q35" s="38"/>
      <c r="R35" s="39">
        <v>2019</v>
      </c>
      <c r="S35" s="38"/>
      <c r="Z35" s="83" t="s">
        <v>92</v>
      </c>
      <c r="AA35" s="85">
        <f>AA32+AA34^2/2</f>
        <v>1.9502258744513465</v>
      </c>
    </row>
    <row r="36" spans="1:27">
      <c r="A36" s="27">
        <v>2012</v>
      </c>
      <c r="B36" s="21">
        <f>'Summary Data'!C42</f>
        <v>40943.876533464463</v>
      </c>
      <c r="C36" s="21">
        <f>'Summary Data'!G42</f>
        <v>4977</v>
      </c>
      <c r="D36" s="21">
        <f t="shared" si="20"/>
        <v>45920.876533464463</v>
      </c>
      <c r="E36" s="55" t="s">
        <v>70</v>
      </c>
      <c r="H36" s="39">
        <v>2015</v>
      </c>
      <c r="I36" s="38">
        <f>D39*'Escapement Age'!B38</f>
        <v>1594.9309730698535</v>
      </c>
      <c r="J36" s="39">
        <v>2016</v>
      </c>
      <c r="K36" s="38">
        <f>D40*'Escapement Age'!C39</f>
        <v>14587.420743639921</v>
      </c>
      <c r="L36" s="39">
        <v>2017</v>
      </c>
      <c r="M36" s="38"/>
      <c r="N36" s="39">
        <v>2018</v>
      </c>
      <c r="O36" s="38"/>
      <c r="P36" s="39">
        <v>2019</v>
      </c>
      <c r="Q36" s="38"/>
      <c r="R36" s="39">
        <v>2020</v>
      </c>
      <c r="S36" s="38"/>
      <c r="U36" s="29"/>
      <c r="V36" s="64"/>
      <c r="W36" s="64"/>
      <c r="X36" s="29"/>
      <c r="Y36" s="29"/>
      <c r="Z36" s="84" t="s">
        <v>93</v>
      </c>
      <c r="AA36" s="21">
        <f>1/AA33</f>
        <v>24727.634102936569</v>
      </c>
    </row>
    <row r="37" spans="1:27">
      <c r="A37" s="27">
        <v>2013</v>
      </c>
      <c r="B37" s="21">
        <f>'Summary Data'!C43</f>
        <v>49124.280737701352</v>
      </c>
      <c r="C37" s="21">
        <f>'Summary Data'!G43</f>
        <v>7656</v>
      </c>
      <c r="D37" s="21">
        <f t="shared" si="20"/>
        <v>56780.280737701352</v>
      </c>
      <c r="E37" s="55" t="s">
        <v>70</v>
      </c>
      <c r="H37" s="39">
        <v>2016</v>
      </c>
      <c r="I37" s="38">
        <f>D40*'Escapement Age'!B39</f>
        <v>685.31506849315065</v>
      </c>
      <c r="J37" s="39">
        <v>2017</v>
      </c>
      <c r="K37" s="38"/>
      <c r="L37" s="39">
        <v>2018</v>
      </c>
      <c r="M37" s="38"/>
      <c r="N37" s="39">
        <v>2019</v>
      </c>
      <c r="O37" s="38"/>
      <c r="P37" s="39">
        <v>2020</v>
      </c>
      <c r="Q37" s="38"/>
      <c r="R37" s="39">
        <v>2021</v>
      </c>
      <c r="S37" s="38"/>
      <c r="U37" s="29"/>
      <c r="V37" s="64"/>
      <c r="W37" s="64"/>
      <c r="X37" s="29"/>
      <c r="Y37" s="29"/>
      <c r="Z37" s="84" t="s">
        <v>94</v>
      </c>
      <c r="AA37" s="21">
        <f>AA35/AA33</f>
        <v>48224.471841512408</v>
      </c>
    </row>
    <row r="38" spans="1:27">
      <c r="A38" s="27">
        <v>2014</v>
      </c>
      <c r="B38" s="21">
        <f>'Summary Data'!C44</f>
        <v>19936.125357064222</v>
      </c>
      <c r="C38" s="21">
        <f>'Summary Data'!G44</f>
        <v>1892</v>
      </c>
      <c r="D38" s="21">
        <f t="shared" si="20"/>
        <v>21828.125357064222</v>
      </c>
      <c r="E38" s="55"/>
      <c r="H38" s="39">
        <v>2017</v>
      </c>
      <c r="I38" s="41"/>
      <c r="J38" s="39">
        <v>2018</v>
      </c>
      <c r="K38" s="38"/>
      <c r="L38" s="39">
        <v>2019</v>
      </c>
      <c r="M38" s="38"/>
      <c r="N38" s="39">
        <v>2020</v>
      </c>
      <c r="O38" s="38"/>
      <c r="P38" s="39">
        <v>2021</v>
      </c>
      <c r="Q38" s="38"/>
      <c r="R38" s="39">
        <v>2022</v>
      </c>
      <c r="S38" s="38"/>
      <c r="U38" s="29"/>
      <c r="V38" s="64"/>
      <c r="W38" s="64"/>
      <c r="X38" s="29"/>
      <c r="Z38" s="83" t="s">
        <v>95</v>
      </c>
      <c r="AA38" s="21">
        <f>AA37*(0.5-0.07*AA35)</f>
        <v>17528.833027061453</v>
      </c>
    </row>
    <row r="39" spans="1:27">
      <c r="A39" s="27">
        <v>2015</v>
      </c>
      <c r="B39" s="21">
        <f>'Summary Data'!C45</f>
        <v>13982.744429542156</v>
      </c>
      <c r="C39" s="21">
        <f>'Summary Data'!G45</f>
        <v>520</v>
      </c>
      <c r="D39" s="21">
        <f t="shared" si="20"/>
        <v>14502.744429542156</v>
      </c>
      <c r="E39" s="55"/>
      <c r="H39" s="39">
        <v>2018</v>
      </c>
      <c r="I39" s="41"/>
      <c r="J39" s="39">
        <v>2019</v>
      </c>
      <c r="K39" s="38"/>
      <c r="L39" s="39">
        <v>2020</v>
      </c>
      <c r="M39" s="38"/>
      <c r="N39" s="39">
        <v>2021</v>
      </c>
      <c r="O39" s="38"/>
      <c r="P39" s="39">
        <v>2022</v>
      </c>
      <c r="Q39" s="38"/>
      <c r="R39" s="39">
        <v>2023</v>
      </c>
      <c r="S39" s="38"/>
      <c r="U39" s="29"/>
      <c r="V39" s="64"/>
      <c r="W39" s="64"/>
      <c r="X39" s="29"/>
      <c r="Z39" s="83" t="s">
        <v>96</v>
      </c>
      <c r="AA39" s="28">
        <f>AA35*(0.5-0.07*AA35)</f>
        <v>0.70887626992910691</v>
      </c>
    </row>
    <row r="40" spans="1:27">
      <c r="A40" s="27">
        <v>2016</v>
      </c>
      <c r="B40" s="21">
        <f>'Summary Data'!C46</f>
        <v>22774</v>
      </c>
      <c r="C40" s="21">
        <f>'Summary Data'!G46</f>
        <v>2240</v>
      </c>
      <c r="D40" s="21">
        <f t="shared" ref="D40" si="21">SUM(B40:C40)</f>
        <v>25014</v>
      </c>
      <c r="E40" s="55"/>
      <c r="H40" s="39"/>
      <c r="I40" s="41"/>
      <c r="J40" s="39"/>
      <c r="K40" s="38"/>
      <c r="L40" s="39"/>
      <c r="M40" s="38"/>
      <c r="N40" s="39"/>
      <c r="O40" s="38"/>
      <c r="P40" s="39"/>
      <c r="Q40" s="38"/>
      <c r="R40" s="39"/>
      <c r="S40" s="38"/>
      <c r="U40" s="29"/>
      <c r="V40" s="64"/>
      <c r="W40" s="64"/>
      <c r="X40" s="29"/>
      <c r="Z40" s="83" t="s">
        <v>99</v>
      </c>
      <c r="AA40" s="21">
        <f>AA38*EXP(AA35-AA33*AA38)-AA38</f>
        <v>43125.84301355511</v>
      </c>
    </row>
    <row r="41" spans="1:27">
      <c r="A41" s="27"/>
      <c r="I41" s="28"/>
      <c r="J41" s="32"/>
      <c r="L41" s="32"/>
      <c r="N41" s="32"/>
      <c r="P41" s="32"/>
      <c r="R41" s="32"/>
      <c r="U41" s="29"/>
      <c r="V41" s="64"/>
      <c r="W41" s="64"/>
      <c r="Z41" s="83" t="s">
        <v>97</v>
      </c>
      <c r="AA41" s="21">
        <f>MAX(B6:B28)/MIN(B6:B28)</f>
        <v>169.49496987116686</v>
      </c>
    </row>
    <row r="42" spans="1:27">
      <c r="A42" s="26"/>
      <c r="H42" s="68" t="s">
        <v>75</v>
      </c>
      <c r="I42" s="67"/>
      <c r="J42" s="66"/>
      <c r="K42" s="67"/>
      <c r="L42" s="66"/>
      <c r="M42" s="67"/>
      <c r="N42" s="66"/>
      <c r="O42" s="67"/>
      <c r="P42" s="67"/>
      <c r="T42" s="26"/>
    </row>
    <row r="43" spans="1:27">
      <c r="H43" s="68" t="s">
        <v>0</v>
      </c>
      <c r="I43" s="65" t="str">
        <f t="shared" ref="I43:I56" si="22">I5</f>
        <v>age 3</v>
      </c>
      <c r="J43" s="65"/>
      <c r="K43" s="65" t="str">
        <f t="shared" ref="K43:K55" si="23">K5</f>
        <v>age 4</v>
      </c>
      <c r="L43" s="65"/>
      <c r="M43" s="65" t="str">
        <f t="shared" ref="M43:M54" si="24">M5</f>
        <v>age 5</v>
      </c>
      <c r="N43" s="65"/>
      <c r="O43" s="65" t="str">
        <f t="shared" ref="O43:O53" si="25">O5</f>
        <v>age 6</v>
      </c>
      <c r="P43" s="65"/>
      <c r="Q43" s="65" t="str">
        <f t="shared" ref="Q43:Q52" si="26">Q5</f>
        <v>age 7</v>
      </c>
      <c r="R43" s="65"/>
      <c r="S43" s="65" t="str">
        <f t="shared" ref="S43:S66" si="27">S5</f>
        <v>age 8</v>
      </c>
      <c r="T43" s="67" t="s">
        <v>13</v>
      </c>
    </row>
    <row r="44" spans="1:27">
      <c r="H44" s="25">
        <f t="shared" ref="H44:H66" si="28">H6</f>
        <v>1985</v>
      </c>
      <c r="I44" s="21">
        <f t="shared" si="22"/>
        <v>76.20385376305704</v>
      </c>
      <c r="J44" s="25">
        <f t="shared" ref="J44:J66" si="29">J6</f>
        <v>1986</v>
      </c>
      <c r="K44" s="21">
        <f t="shared" si="23"/>
        <v>1811.8171507084016</v>
      </c>
      <c r="L44" s="25">
        <f t="shared" ref="L44:L66" si="30">L6</f>
        <v>1987</v>
      </c>
      <c r="M44" s="21">
        <f t="shared" si="24"/>
        <v>2797.2837260263127</v>
      </c>
      <c r="N44" s="25">
        <f t="shared" ref="N44:N66" si="31">N6</f>
        <v>1988</v>
      </c>
      <c r="O44" s="21">
        <f t="shared" si="25"/>
        <v>347.82722546173119</v>
      </c>
      <c r="P44" s="25">
        <f t="shared" ref="P44:P66" si="32">P6</f>
        <v>1989</v>
      </c>
      <c r="Q44" s="21">
        <f t="shared" si="26"/>
        <v>20.820152442865616</v>
      </c>
      <c r="R44" s="25">
        <f t="shared" ref="R44:R66" si="33">R6</f>
        <v>1990</v>
      </c>
      <c r="S44" s="21">
        <f t="shared" si="27"/>
        <v>0</v>
      </c>
      <c r="T44" s="21">
        <f t="shared" ref="T44:T52" si="34">E6</f>
        <v>5053.952108402369</v>
      </c>
    </row>
    <row r="45" spans="1:27">
      <c r="H45" s="25">
        <f t="shared" si="28"/>
        <v>1986</v>
      </c>
      <c r="I45" s="21">
        <f t="shared" si="22"/>
        <v>69.388741942023898</v>
      </c>
      <c r="J45" s="25">
        <f t="shared" si="29"/>
        <v>1987</v>
      </c>
      <c r="K45" s="21">
        <f t="shared" si="23"/>
        <v>5962.9901866999935</v>
      </c>
      <c r="L45" s="25">
        <f t="shared" si="30"/>
        <v>1988</v>
      </c>
      <c r="M45" s="21">
        <f t="shared" si="24"/>
        <v>725.46821310589655</v>
      </c>
      <c r="N45" s="25">
        <f t="shared" si="31"/>
        <v>1989</v>
      </c>
      <c r="O45" s="21">
        <f t="shared" si="25"/>
        <v>4080.749878801661</v>
      </c>
      <c r="P45" s="25">
        <f t="shared" si="32"/>
        <v>1990</v>
      </c>
      <c r="Q45" s="21">
        <f t="shared" si="26"/>
        <v>0</v>
      </c>
      <c r="R45" s="25">
        <f t="shared" si="33"/>
        <v>1991</v>
      </c>
      <c r="S45" s="21">
        <f t="shared" si="27"/>
        <v>21.709692969257897</v>
      </c>
      <c r="T45" s="21">
        <f t="shared" si="34"/>
        <v>10860.306713518834</v>
      </c>
    </row>
    <row r="46" spans="1:27">
      <c r="H46" s="25">
        <f t="shared" si="28"/>
        <v>1987</v>
      </c>
      <c r="I46" s="21">
        <f t="shared" si="22"/>
        <v>95.517005278947252</v>
      </c>
      <c r="J46" s="25">
        <f t="shared" si="29"/>
        <v>1988</v>
      </c>
      <c r="K46" s="21">
        <f t="shared" si="23"/>
        <v>477.02019491894566</v>
      </c>
      <c r="L46" s="25">
        <f t="shared" si="30"/>
        <v>1989</v>
      </c>
      <c r="M46" s="21">
        <f t="shared" si="24"/>
        <v>8036.5788429461281</v>
      </c>
      <c r="N46" s="25">
        <f t="shared" si="31"/>
        <v>1990</v>
      </c>
      <c r="O46" s="21">
        <f t="shared" si="25"/>
        <v>21080.475644975904</v>
      </c>
      <c r="P46" s="25">
        <f t="shared" si="32"/>
        <v>1991</v>
      </c>
      <c r="Q46" s="21">
        <f t="shared" si="26"/>
        <v>1237.4524992477</v>
      </c>
      <c r="R46" s="25">
        <f t="shared" si="33"/>
        <v>1992</v>
      </c>
      <c r="S46" s="21">
        <f t="shared" si="27"/>
        <v>0</v>
      </c>
      <c r="T46" s="21">
        <f t="shared" si="34"/>
        <v>30927.044187367625</v>
      </c>
    </row>
    <row r="47" spans="1:27">
      <c r="H47" s="25">
        <f t="shared" si="28"/>
        <v>1988</v>
      </c>
      <c r="I47" s="21">
        <f t="shared" si="22"/>
        <v>0</v>
      </c>
      <c r="J47" s="25">
        <f t="shared" si="29"/>
        <v>1989</v>
      </c>
      <c r="K47" s="21">
        <f t="shared" si="23"/>
        <v>2894.0011895583207</v>
      </c>
      <c r="L47" s="25">
        <f t="shared" si="30"/>
        <v>1990</v>
      </c>
      <c r="M47" s="21">
        <f t="shared" si="24"/>
        <v>7132.0172092283747</v>
      </c>
      <c r="N47" s="25">
        <f t="shared" si="31"/>
        <v>1991</v>
      </c>
      <c r="O47" s="21">
        <f t="shared" si="25"/>
        <v>39967.544756403782</v>
      </c>
      <c r="P47" s="25">
        <f t="shared" si="32"/>
        <v>1992</v>
      </c>
      <c r="Q47" s="21">
        <f t="shared" si="26"/>
        <v>204.04158882680332</v>
      </c>
      <c r="R47" s="25">
        <f t="shared" si="33"/>
        <v>1993</v>
      </c>
      <c r="S47" s="21">
        <f t="shared" si="27"/>
        <v>0</v>
      </c>
      <c r="T47" s="21">
        <f t="shared" si="34"/>
        <v>50197.604744017284</v>
      </c>
    </row>
    <row r="48" spans="1:27">
      <c r="H48" s="25">
        <f t="shared" si="28"/>
        <v>1989</v>
      </c>
      <c r="I48" s="21">
        <f t="shared" si="22"/>
        <v>166.56121954292493</v>
      </c>
      <c r="J48" s="25">
        <f t="shared" si="29"/>
        <v>1990</v>
      </c>
      <c r="K48" s="21">
        <f t="shared" si="23"/>
        <v>4228.7181683035496</v>
      </c>
      <c r="L48" s="25">
        <f t="shared" si="30"/>
        <v>1991</v>
      </c>
      <c r="M48" s="21">
        <f t="shared" si="24"/>
        <v>1606.5172797250843</v>
      </c>
      <c r="N48" s="25">
        <f t="shared" si="31"/>
        <v>1992</v>
      </c>
      <c r="O48" s="21">
        <f t="shared" si="25"/>
        <v>3037.0805721528036</v>
      </c>
      <c r="P48" s="25">
        <f t="shared" si="32"/>
        <v>1993</v>
      </c>
      <c r="Q48" s="21">
        <f t="shared" si="26"/>
        <v>259.75006591282317</v>
      </c>
      <c r="R48" s="25">
        <f t="shared" si="33"/>
        <v>1994</v>
      </c>
      <c r="S48" s="21">
        <f t="shared" si="27"/>
        <v>0</v>
      </c>
      <c r="T48" s="21">
        <f t="shared" si="34"/>
        <v>9298.6273056371865</v>
      </c>
    </row>
    <row r="49" spans="8:20">
      <c r="H49" s="25">
        <f t="shared" si="28"/>
        <v>1990</v>
      </c>
      <c r="I49" s="21">
        <f t="shared" si="22"/>
        <v>504.92157233475217</v>
      </c>
      <c r="J49" s="25">
        <f t="shared" si="29"/>
        <v>1991</v>
      </c>
      <c r="K49" s="21">
        <f t="shared" si="23"/>
        <v>4255.099821974547</v>
      </c>
      <c r="L49" s="25">
        <f t="shared" si="30"/>
        <v>1992</v>
      </c>
      <c r="M49" s="21">
        <f t="shared" si="24"/>
        <v>3154.796873399036</v>
      </c>
      <c r="N49" s="25">
        <f t="shared" si="31"/>
        <v>1993</v>
      </c>
      <c r="O49" s="21">
        <f t="shared" si="25"/>
        <v>4049.7396640044708</v>
      </c>
      <c r="P49" s="25">
        <f t="shared" si="32"/>
        <v>1994</v>
      </c>
      <c r="Q49" s="21">
        <f t="shared" si="26"/>
        <v>724.13238604663582</v>
      </c>
      <c r="R49" s="25">
        <f t="shared" si="33"/>
        <v>1995</v>
      </c>
      <c r="S49" s="21">
        <f t="shared" si="27"/>
        <v>0</v>
      </c>
      <c r="T49" s="21">
        <f t="shared" si="34"/>
        <v>12688.690317759443</v>
      </c>
    </row>
    <row r="50" spans="8:20">
      <c r="H50" s="25">
        <f t="shared" si="28"/>
        <v>1991</v>
      </c>
      <c r="I50" s="21">
        <f t="shared" si="22"/>
        <v>108.54846484628948</v>
      </c>
      <c r="J50" s="25">
        <f t="shared" si="29"/>
        <v>1992</v>
      </c>
      <c r="K50" s="21">
        <f t="shared" si="23"/>
        <v>1742.2012584442436</v>
      </c>
      <c r="L50" s="25">
        <f t="shared" si="30"/>
        <v>1993</v>
      </c>
      <c r="M50" s="21">
        <f t="shared" si="24"/>
        <v>2113.4209908361522</v>
      </c>
      <c r="N50" s="25">
        <f t="shared" si="31"/>
        <v>1994</v>
      </c>
      <c r="O50" s="21">
        <f t="shared" si="25"/>
        <v>16137.807460467884</v>
      </c>
      <c r="P50" s="25">
        <f t="shared" si="32"/>
        <v>1995</v>
      </c>
      <c r="Q50" s="21">
        <f t="shared" si="26"/>
        <v>99.554950290028245</v>
      </c>
      <c r="R50" s="25">
        <f t="shared" si="33"/>
        <v>1996</v>
      </c>
      <c r="S50" s="21">
        <f t="shared" si="27"/>
        <v>0</v>
      </c>
      <c r="T50" s="21">
        <f t="shared" si="34"/>
        <v>20201.533124884598</v>
      </c>
    </row>
    <row r="51" spans="8:20">
      <c r="H51" s="25">
        <f t="shared" si="28"/>
        <v>1992</v>
      </c>
      <c r="I51" s="21">
        <f t="shared" si="22"/>
        <v>745.53657455947371</v>
      </c>
      <c r="J51" s="25">
        <f t="shared" si="29"/>
        <v>1993</v>
      </c>
      <c r="K51" s="21">
        <f t="shared" si="23"/>
        <v>9162.0932340159452</v>
      </c>
      <c r="L51" s="25">
        <f t="shared" si="30"/>
        <v>1994</v>
      </c>
      <c r="M51" s="21">
        <f t="shared" si="24"/>
        <v>13517.137872870535</v>
      </c>
      <c r="N51" s="25">
        <f t="shared" si="31"/>
        <v>1995</v>
      </c>
      <c r="O51" s="21">
        <f t="shared" si="25"/>
        <v>1957.9140223705554</v>
      </c>
      <c r="P51" s="25">
        <f t="shared" si="32"/>
        <v>1996</v>
      </c>
      <c r="Q51" s="21">
        <f t="shared" si="26"/>
        <v>14.886159273524806</v>
      </c>
      <c r="R51" s="25">
        <f t="shared" si="33"/>
        <v>1997</v>
      </c>
      <c r="S51" s="21">
        <f t="shared" si="27"/>
        <v>0</v>
      </c>
      <c r="T51" s="21">
        <f t="shared" si="34"/>
        <v>25397.567863090037</v>
      </c>
    </row>
    <row r="52" spans="8:20">
      <c r="H52" s="25">
        <f t="shared" si="28"/>
        <v>1993</v>
      </c>
      <c r="I52" s="21">
        <f t="shared" si="22"/>
        <v>295.17052944638999</v>
      </c>
      <c r="J52" s="25">
        <f t="shared" si="29"/>
        <v>1994</v>
      </c>
      <c r="K52" s="21">
        <f t="shared" si="23"/>
        <v>12258.526820932335</v>
      </c>
      <c r="L52" s="25">
        <f t="shared" si="30"/>
        <v>1995</v>
      </c>
      <c r="M52" s="21">
        <f t="shared" si="24"/>
        <v>25237.179898522158</v>
      </c>
      <c r="N52" s="25">
        <f t="shared" si="31"/>
        <v>1996</v>
      </c>
      <c r="O52" s="21">
        <f t="shared" si="25"/>
        <v>2902.8010583373371</v>
      </c>
      <c r="P52" s="25">
        <f t="shared" si="32"/>
        <v>1997</v>
      </c>
      <c r="Q52" s="21">
        <f t="shared" si="26"/>
        <v>0</v>
      </c>
      <c r="R52" s="25">
        <f t="shared" si="33"/>
        <v>1998</v>
      </c>
      <c r="S52" s="21">
        <f t="shared" si="27"/>
        <v>0</v>
      </c>
      <c r="T52" s="21">
        <f t="shared" si="34"/>
        <v>40693.678307238224</v>
      </c>
    </row>
    <row r="53" spans="8:20">
      <c r="H53" s="25">
        <f t="shared" si="28"/>
        <v>1994</v>
      </c>
      <c r="I53" s="21">
        <f t="shared" si="22"/>
        <v>431.03118217061655</v>
      </c>
      <c r="J53" s="25">
        <f t="shared" si="29"/>
        <v>1995</v>
      </c>
      <c r="K53" s="21">
        <f t="shared" si="23"/>
        <v>5326.1898405165111</v>
      </c>
      <c r="L53" s="25">
        <f t="shared" si="30"/>
        <v>1996</v>
      </c>
      <c r="M53" s="21">
        <f t="shared" si="24"/>
        <v>5939.5775501363978</v>
      </c>
      <c r="N53" s="25">
        <f t="shared" si="31"/>
        <v>1997</v>
      </c>
      <c r="O53" s="21">
        <f t="shared" si="25"/>
        <v>12990.873941632279</v>
      </c>
      <c r="P53" s="25">
        <f t="shared" si="32"/>
        <v>1998</v>
      </c>
      <c r="Q53" s="23">
        <f>T53-SUM(I53,K53,M53,O53)</f>
        <v>39.649273067185277</v>
      </c>
      <c r="R53" s="25">
        <f t="shared" si="33"/>
        <v>1999</v>
      </c>
      <c r="S53" s="21">
        <f t="shared" si="27"/>
        <v>0</v>
      </c>
      <c r="T53" s="23">
        <f>SUM(I53,K53,M53,O53)/(1-Q94)</f>
        <v>24727.321787522989</v>
      </c>
    </row>
    <row r="54" spans="8:20">
      <c r="H54" s="25">
        <f t="shared" si="28"/>
        <v>1995</v>
      </c>
      <c r="I54" s="21">
        <f t="shared" si="22"/>
        <v>3501.015751865993</v>
      </c>
      <c r="J54" s="25">
        <f t="shared" si="29"/>
        <v>1996</v>
      </c>
      <c r="K54" s="21">
        <f t="shared" si="23"/>
        <v>5969.3498686834473</v>
      </c>
      <c r="L54" s="25">
        <f t="shared" si="30"/>
        <v>1997</v>
      </c>
      <c r="M54" s="21">
        <f t="shared" si="24"/>
        <v>13849.301735132211</v>
      </c>
      <c r="N54" s="25">
        <f t="shared" si="31"/>
        <v>1998</v>
      </c>
      <c r="O54" s="23">
        <f>T54-SUM(I54,K54,M54,R54)</f>
        <v>7074.8716596606828</v>
      </c>
      <c r="P54" s="25">
        <f t="shared" si="32"/>
        <v>1999</v>
      </c>
      <c r="Q54" s="21">
        <f t="shared" ref="Q54:Q66" si="35">Q16</f>
        <v>0</v>
      </c>
      <c r="R54" s="25">
        <f t="shared" si="33"/>
        <v>2000</v>
      </c>
      <c r="S54" s="21">
        <f t="shared" si="27"/>
        <v>0</v>
      </c>
      <c r="T54" s="23">
        <f>SUM(I54,K54,M54,Q54)/(1-O94)</f>
        <v>32394.539015342336</v>
      </c>
    </row>
    <row r="55" spans="8:20">
      <c r="H55" s="25">
        <f t="shared" si="28"/>
        <v>1996</v>
      </c>
      <c r="I55" s="21">
        <f t="shared" si="22"/>
        <v>714.5356451291907</v>
      </c>
      <c r="J55" s="25">
        <f t="shared" si="29"/>
        <v>1997</v>
      </c>
      <c r="K55" s="21">
        <f t="shared" si="23"/>
        <v>4034.6106294496731</v>
      </c>
      <c r="L55" s="25">
        <f t="shared" si="30"/>
        <v>1998</v>
      </c>
      <c r="M55" s="23">
        <f>T55-SUM(I55,K55,O55,Q55)</f>
        <v>10572.156002253243</v>
      </c>
      <c r="N55" s="25">
        <f t="shared" si="31"/>
        <v>1999</v>
      </c>
      <c r="O55" s="21">
        <f t="shared" ref="O55:O66" si="36">O17</f>
        <v>10172.599206965613</v>
      </c>
      <c r="P55" s="25">
        <f t="shared" si="32"/>
        <v>2000</v>
      </c>
      <c r="Q55" s="21">
        <f t="shared" si="35"/>
        <v>0</v>
      </c>
      <c r="R55" s="25">
        <f t="shared" si="33"/>
        <v>2001</v>
      </c>
      <c r="S55" s="21">
        <f t="shared" si="27"/>
        <v>0</v>
      </c>
      <c r="T55" s="23">
        <f>SUM(I55,K55,O55,Q55)/(1-M94)</f>
        <v>25493.901483797719</v>
      </c>
    </row>
    <row r="56" spans="8:20">
      <c r="H56" s="25">
        <f t="shared" si="28"/>
        <v>1997</v>
      </c>
      <c r="I56" s="21">
        <f t="shared" si="22"/>
        <v>929.96344295825793</v>
      </c>
      <c r="J56" s="25">
        <f t="shared" si="29"/>
        <v>1998</v>
      </c>
      <c r="K56" s="23">
        <f>T56-SUM(I56,M56,O56,Q56)</f>
        <v>29391.067078838438</v>
      </c>
      <c r="L56" s="25">
        <f t="shared" si="30"/>
        <v>1999</v>
      </c>
      <c r="M56" s="21">
        <f t="shared" ref="M56:M66" si="37">M18</f>
        <v>56256.007172189231</v>
      </c>
      <c r="N56" s="25">
        <f t="shared" si="31"/>
        <v>2000</v>
      </c>
      <c r="O56" s="21">
        <f t="shared" si="36"/>
        <v>191.18242842066761</v>
      </c>
      <c r="P56" s="25">
        <f t="shared" si="32"/>
        <v>2001</v>
      </c>
      <c r="Q56" s="21">
        <f t="shared" si="35"/>
        <v>0</v>
      </c>
      <c r="R56" s="25">
        <f t="shared" si="33"/>
        <v>2002</v>
      </c>
      <c r="S56" s="21">
        <f t="shared" si="27"/>
        <v>0</v>
      </c>
      <c r="T56" s="23">
        <f>SUM(I56,M56,O56,Q56)/(1-K94)</f>
        <v>86768.220122406594</v>
      </c>
    </row>
    <row r="57" spans="8:20">
      <c r="H57" s="25">
        <f t="shared" si="28"/>
        <v>1998</v>
      </c>
      <c r="I57" s="23">
        <f>T57-SUM(K57,M57,O57,Q57)</f>
        <v>19.508785496990185</v>
      </c>
      <c r="J57" s="25">
        <f t="shared" si="29"/>
        <v>1999</v>
      </c>
      <c r="K57" s="21">
        <f t="shared" ref="K57:K66" si="38">K19</f>
        <v>1022.3717795945339</v>
      </c>
      <c r="L57" s="25">
        <f t="shared" si="30"/>
        <v>2000</v>
      </c>
      <c r="M57" s="21">
        <f t="shared" si="37"/>
        <v>1977.8277416376211</v>
      </c>
      <c r="N57" s="25">
        <f t="shared" si="31"/>
        <v>2001</v>
      </c>
      <c r="O57" s="21">
        <f t="shared" si="36"/>
        <v>72.467805383255538</v>
      </c>
      <c r="P57" s="25">
        <f t="shared" si="32"/>
        <v>2002</v>
      </c>
      <c r="Q57" s="21">
        <f t="shared" si="35"/>
        <v>35.513122383347827</v>
      </c>
      <c r="R57" s="25">
        <f t="shared" si="33"/>
        <v>2003</v>
      </c>
      <c r="S57" s="21">
        <f t="shared" si="27"/>
        <v>0</v>
      </c>
      <c r="T57" s="23">
        <f>SUM(K57,M57,O57,Q57)/(1-I94)</f>
        <v>3127.6892344957482</v>
      </c>
    </row>
    <row r="58" spans="8:20">
      <c r="H58" s="25">
        <f t="shared" si="28"/>
        <v>1999</v>
      </c>
      <c r="I58" s="21">
        <f t="shared" ref="I58:I66" si="39">I20</f>
        <v>153.35576693918009</v>
      </c>
      <c r="J58" s="25">
        <f t="shared" si="29"/>
        <v>2000</v>
      </c>
      <c r="K58" s="21">
        <f t="shared" si="38"/>
        <v>846.66504014867098</v>
      </c>
      <c r="L58" s="25">
        <f t="shared" si="30"/>
        <v>2001</v>
      </c>
      <c r="M58" s="21">
        <f t="shared" si="37"/>
        <v>2491.0808100494091</v>
      </c>
      <c r="N58" s="25">
        <f t="shared" si="31"/>
        <v>2002</v>
      </c>
      <c r="O58" s="21">
        <f t="shared" si="36"/>
        <v>2545.1071041399273</v>
      </c>
      <c r="P58" s="25">
        <f t="shared" si="32"/>
        <v>2003</v>
      </c>
      <c r="Q58" s="21">
        <f t="shared" si="35"/>
        <v>80.999268632914365</v>
      </c>
      <c r="R58" s="25">
        <f t="shared" si="33"/>
        <v>2004</v>
      </c>
      <c r="S58" s="21">
        <f t="shared" si="27"/>
        <v>0</v>
      </c>
      <c r="T58" s="21">
        <f t="shared" ref="T58:T66" si="40">E20</f>
        <v>6117.2079899101018</v>
      </c>
    </row>
    <row r="59" spans="8:20">
      <c r="H59" s="25">
        <f t="shared" si="28"/>
        <v>2000</v>
      </c>
      <c r="I59" s="21">
        <f t="shared" si="39"/>
        <v>81.935326466000404</v>
      </c>
      <c r="J59" s="25">
        <f t="shared" si="29"/>
        <v>2001</v>
      </c>
      <c r="K59" s="21">
        <f t="shared" si="38"/>
        <v>957.17892943716697</v>
      </c>
      <c r="L59" s="25">
        <f t="shared" si="30"/>
        <v>2002</v>
      </c>
      <c r="M59" s="21">
        <f t="shared" si="37"/>
        <v>2296.5152474564929</v>
      </c>
      <c r="N59" s="25">
        <f t="shared" si="31"/>
        <v>2003</v>
      </c>
      <c r="O59" s="21">
        <f t="shared" si="36"/>
        <v>12514.38700378527</v>
      </c>
      <c r="P59" s="25">
        <f t="shared" si="32"/>
        <v>2004</v>
      </c>
      <c r="Q59" s="21">
        <f t="shared" si="35"/>
        <v>0</v>
      </c>
      <c r="R59" s="25">
        <f t="shared" si="33"/>
        <v>2005</v>
      </c>
      <c r="S59" s="21">
        <f t="shared" si="27"/>
        <v>0</v>
      </c>
      <c r="T59" s="21">
        <f t="shared" si="40"/>
        <v>15850.01650714493</v>
      </c>
    </row>
    <row r="60" spans="8:20">
      <c r="H60" s="25">
        <f t="shared" si="28"/>
        <v>2001</v>
      </c>
      <c r="I60" s="21">
        <f t="shared" si="39"/>
        <v>138.89662698457312</v>
      </c>
      <c r="J60" s="25">
        <f t="shared" si="29"/>
        <v>2002</v>
      </c>
      <c r="K60" s="21">
        <f t="shared" si="38"/>
        <v>10251.454661326405</v>
      </c>
      <c r="L60" s="25">
        <f t="shared" si="30"/>
        <v>2003</v>
      </c>
      <c r="M60" s="21">
        <f t="shared" si="37"/>
        <v>6601.4403935825212</v>
      </c>
      <c r="N60" s="25">
        <f t="shared" si="31"/>
        <v>2004</v>
      </c>
      <c r="O60" s="21">
        <f t="shared" si="36"/>
        <v>5771.7462109022999</v>
      </c>
      <c r="P60" s="25">
        <f t="shared" si="32"/>
        <v>2005</v>
      </c>
      <c r="Q60" s="21">
        <f t="shared" si="35"/>
        <v>59.976654942545792</v>
      </c>
      <c r="R60" s="25">
        <f t="shared" si="33"/>
        <v>2006</v>
      </c>
      <c r="S60" s="21">
        <f t="shared" si="27"/>
        <v>0</v>
      </c>
      <c r="T60" s="21">
        <f t="shared" si="40"/>
        <v>22823.514547738341</v>
      </c>
    </row>
    <row r="61" spans="8:20">
      <c r="H61" s="25">
        <f t="shared" si="28"/>
        <v>2002</v>
      </c>
      <c r="I61" s="21">
        <f t="shared" si="39"/>
        <v>47.35082984446376</v>
      </c>
      <c r="J61" s="25">
        <f t="shared" si="29"/>
        <v>2003</v>
      </c>
      <c r="K61" s="21">
        <f t="shared" si="38"/>
        <v>4373.9605061773764</v>
      </c>
      <c r="L61" s="25">
        <f t="shared" si="30"/>
        <v>2004</v>
      </c>
      <c r="M61" s="21">
        <f t="shared" si="37"/>
        <v>48482.668171579317</v>
      </c>
      <c r="N61" s="25">
        <f t="shared" si="31"/>
        <v>2005</v>
      </c>
      <c r="O61" s="21">
        <f t="shared" si="36"/>
        <v>5967.6771667833073</v>
      </c>
      <c r="P61" s="25">
        <f t="shared" si="32"/>
        <v>2006</v>
      </c>
      <c r="Q61" s="21">
        <f t="shared" si="35"/>
        <v>0</v>
      </c>
      <c r="R61" s="25">
        <f t="shared" si="33"/>
        <v>2007</v>
      </c>
      <c r="S61" s="21">
        <f t="shared" si="27"/>
        <v>0</v>
      </c>
      <c r="T61" s="21">
        <f t="shared" si="40"/>
        <v>58871.656674384467</v>
      </c>
    </row>
    <row r="62" spans="8:20">
      <c r="H62" s="25">
        <f t="shared" si="28"/>
        <v>2003</v>
      </c>
      <c r="I62" s="21">
        <f t="shared" si="39"/>
        <v>40.499634316457183</v>
      </c>
      <c r="J62" s="25">
        <f t="shared" si="29"/>
        <v>2004</v>
      </c>
      <c r="K62" s="21">
        <f t="shared" si="38"/>
        <v>31552.212619599242</v>
      </c>
      <c r="L62" s="25">
        <f t="shared" si="30"/>
        <v>2005</v>
      </c>
      <c r="M62" s="21">
        <f t="shared" si="37"/>
        <v>31997.545411848183</v>
      </c>
      <c r="N62" s="25">
        <f t="shared" si="31"/>
        <v>2006</v>
      </c>
      <c r="O62" s="21">
        <f t="shared" si="36"/>
        <v>12027.387335986794</v>
      </c>
      <c r="P62" s="25">
        <f t="shared" si="32"/>
        <v>2007</v>
      </c>
      <c r="Q62" s="21">
        <f t="shared" si="35"/>
        <v>176.83814167307321</v>
      </c>
      <c r="R62" s="25">
        <f t="shared" si="33"/>
        <v>2008</v>
      </c>
      <c r="S62" s="21">
        <f t="shared" si="27"/>
        <v>0</v>
      </c>
      <c r="T62" s="21">
        <f t="shared" si="40"/>
        <v>75794.483143423742</v>
      </c>
    </row>
    <row r="63" spans="8:20">
      <c r="H63" s="25">
        <f t="shared" si="28"/>
        <v>2004</v>
      </c>
      <c r="I63" s="21">
        <f t="shared" si="39"/>
        <v>979.44784185008734</v>
      </c>
      <c r="J63" s="25">
        <f t="shared" si="29"/>
        <v>2005</v>
      </c>
      <c r="K63" s="21">
        <f t="shared" si="38"/>
        <v>18652.739687131743</v>
      </c>
      <c r="L63" s="25">
        <f t="shared" si="30"/>
        <v>2006</v>
      </c>
      <c r="M63" s="21">
        <f t="shared" si="37"/>
        <v>24054.774671973588</v>
      </c>
      <c r="N63" s="25">
        <f t="shared" si="31"/>
        <v>2007</v>
      </c>
      <c r="O63" s="21">
        <f t="shared" si="36"/>
        <v>10787.126642057465</v>
      </c>
      <c r="P63" s="25">
        <f t="shared" si="32"/>
        <v>2008</v>
      </c>
      <c r="Q63" s="21">
        <f t="shared" si="35"/>
        <v>47.640722662436126</v>
      </c>
      <c r="R63" s="25">
        <f t="shared" si="33"/>
        <v>2009</v>
      </c>
      <c r="S63" s="21">
        <f t="shared" si="27"/>
        <v>0</v>
      </c>
      <c r="T63" s="21">
        <f t="shared" si="40"/>
        <v>54521.729565675319</v>
      </c>
    </row>
    <row r="64" spans="8:20">
      <c r="H64" s="25">
        <f t="shared" si="28"/>
        <v>2005</v>
      </c>
      <c r="I64" s="21">
        <f t="shared" si="39"/>
        <v>1409.4513911498261</v>
      </c>
      <c r="J64" s="25">
        <f t="shared" si="29"/>
        <v>2006</v>
      </c>
      <c r="K64" s="21">
        <f t="shared" si="38"/>
        <v>70159.759459922963</v>
      </c>
      <c r="L64" s="25">
        <f t="shared" si="30"/>
        <v>2007</v>
      </c>
      <c r="M64" s="21">
        <f t="shared" si="37"/>
        <v>62954.37843561406</v>
      </c>
      <c r="N64" s="25">
        <f t="shared" si="31"/>
        <v>2008</v>
      </c>
      <c r="O64" s="21">
        <f t="shared" si="36"/>
        <v>2262.9343264657159</v>
      </c>
      <c r="P64" s="25">
        <f t="shared" si="32"/>
        <v>2009</v>
      </c>
      <c r="Q64" s="21">
        <f t="shared" si="35"/>
        <v>0</v>
      </c>
      <c r="R64" s="25">
        <f t="shared" si="33"/>
        <v>2010</v>
      </c>
      <c r="S64" s="21">
        <f t="shared" si="27"/>
        <v>0</v>
      </c>
      <c r="T64" s="21">
        <f t="shared" si="40"/>
        <v>136786.52361315256</v>
      </c>
    </row>
    <row r="65" spans="1:26">
      <c r="H65" s="25">
        <f t="shared" si="28"/>
        <v>2006</v>
      </c>
      <c r="I65" s="21">
        <f t="shared" si="39"/>
        <v>0</v>
      </c>
      <c r="J65" s="25">
        <f t="shared" si="29"/>
        <v>2007</v>
      </c>
      <c r="K65" s="21">
        <f t="shared" si="38"/>
        <v>4597.7916834999032</v>
      </c>
      <c r="L65" s="25">
        <f t="shared" si="30"/>
        <v>2008</v>
      </c>
      <c r="M65" s="21">
        <f t="shared" si="37"/>
        <v>6312.3957527727862</v>
      </c>
      <c r="N65" s="25">
        <f t="shared" si="31"/>
        <v>2009</v>
      </c>
      <c r="O65" s="21">
        <f t="shared" si="36"/>
        <v>392.79931279700816</v>
      </c>
      <c r="P65" s="25">
        <f t="shared" si="32"/>
        <v>2010</v>
      </c>
      <c r="Q65" s="21">
        <f t="shared" si="35"/>
        <v>0</v>
      </c>
      <c r="R65" s="25">
        <f t="shared" si="33"/>
        <v>2011</v>
      </c>
      <c r="S65" s="21">
        <f t="shared" si="27"/>
        <v>0</v>
      </c>
      <c r="T65" s="21">
        <f t="shared" si="40"/>
        <v>11302.986749069696</v>
      </c>
    </row>
    <row r="66" spans="1:26" s="21" customFormat="1">
      <c r="A66" s="22"/>
      <c r="F66" s="31"/>
      <c r="G66" s="31"/>
      <c r="H66" s="25">
        <f t="shared" si="28"/>
        <v>2007</v>
      </c>
      <c r="I66" s="21">
        <f t="shared" si="39"/>
        <v>0</v>
      </c>
      <c r="J66" s="25">
        <f t="shared" si="29"/>
        <v>2008</v>
      </c>
      <c r="K66" s="21">
        <f t="shared" si="38"/>
        <v>1691.2456545164825</v>
      </c>
      <c r="L66" s="25">
        <f t="shared" si="30"/>
        <v>2009</v>
      </c>
      <c r="M66" s="21">
        <f t="shared" si="37"/>
        <v>5650.2670379261945</v>
      </c>
      <c r="N66" s="25">
        <f t="shared" si="31"/>
        <v>2010</v>
      </c>
      <c r="O66" s="21">
        <f t="shared" si="36"/>
        <v>3258.2008236275524</v>
      </c>
      <c r="P66" s="25">
        <f t="shared" si="32"/>
        <v>2011</v>
      </c>
      <c r="Q66" s="21">
        <f t="shared" si="35"/>
        <v>0</v>
      </c>
      <c r="R66" s="25">
        <f t="shared" si="33"/>
        <v>2012</v>
      </c>
      <c r="S66" s="21">
        <f t="shared" si="27"/>
        <v>0</v>
      </c>
      <c r="T66" s="21">
        <f t="shared" si="40"/>
        <v>10599.713516070229</v>
      </c>
      <c r="U66" s="22"/>
      <c r="V66" s="27"/>
      <c r="W66" s="27"/>
      <c r="X66" s="22"/>
      <c r="Y66" s="22"/>
      <c r="Z66" s="22"/>
    </row>
    <row r="67" spans="1:26" s="21" customFormat="1">
      <c r="A67" s="22"/>
      <c r="F67" s="31"/>
      <c r="G67" s="31"/>
      <c r="H67" s="30"/>
      <c r="J67" s="30"/>
      <c r="L67" s="30"/>
      <c r="N67" s="30"/>
      <c r="P67" s="30"/>
      <c r="R67" s="30"/>
      <c r="U67" s="22"/>
      <c r="V67" s="27"/>
      <c r="W67" s="27"/>
      <c r="X67" s="22"/>
      <c r="Y67" s="22"/>
      <c r="Z67" s="22"/>
    </row>
    <row r="68" spans="1:26" s="21" customFormat="1">
      <c r="A68" s="22"/>
      <c r="F68" s="31"/>
      <c r="G68" s="31"/>
      <c r="H68" s="68" t="s">
        <v>0</v>
      </c>
      <c r="I68" s="65" t="s">
        <v>48</v>
      </c>
      <c r="J68" s="65"/>
      <c r="K68" s="65" t="s">
        <v>49</v>
      </c>
      <c r="L68" s="65"/>
      <c r="M68" s="65" t="s">
        <v>50</v>
      </c>
      <c r="N68" s="65"/>
      <c r="O68" s="65" t="s">
        <v>51</v>
      </c>
      <c r="P68" s="65"/>
      <c r="Q68" s="65" t="s">
        <v>52</v>
      </c>
      <c r="R68" s="65"/>
      <c r="S68" s="65" t="s">
        <v>53</v>
      </c>
      <c r="U68" s="22"/>
      <c r="V68" s="27"/>
      <c r="W68" s="27"/>
      <c r="X68" s="22"/>
      <c r="Y68" s="22"/>
      <c r="Z68" s="22"/>
    </row>
    <row r="69" spans="1:26" s="21" customFormat="1">
      <c r="A69" s="22"/>
      <c r="F69" s="31"/>
      <c r="G69" s="31"/>
      <c r="H69" s="25">
        <v>1985</v>
      </c>
      <c r="I69" s="28">
        <f>I44/$T44</f>
        <v>1.5078071997628452E-2</v>
      </c>
      <c r="J69" s="25">
        <v>1986</v>
      </c>
      <c r="K69" s="28">
        <f>K44/$T44</f>
        <v>0.35849511666250128</v>
      </c>
      <c r="L69" s="25">
        <v>1987</v>
      </c>
      <c r="M69" s="28">
        <f>M44/$T44</f>
        <v>0.55348441497412137</v>
      </c>
      <c r="N69" s="25">
        <v>1988</v>
      </c>
      <c r="O69" s="28">
        <f>O44/$T44</f>
        <v>6.8822817866330085E-2</v>
      </c>
      <c r="P69" s="25">
        <v>1989</v>
      </c>
      <c r="Q69" s="28">
        <f>Q44/$T44</f>
        <v>4.1195784994185834E-3</v>
      </c>
      <c r="R69" s="25">
        <v>1990</v>
      </c>
      <c r="S69" s="28">
        <f>S44/$T44</f>
        <v>0</v>
      </c>
      <c r="U69" s="22"/>
      <c r="V69" s="27"/>
      <c r="W69" s="27"/>
      <c r="X69" s="22"/>
      <c r="Y69" s="22"/>
      <c r="Z69" s="22"/>
    </row>
    <row r="70" spans="1:26" s="21" customFormat="1">
      <c r="A70" s="22"/>
      <c r="F70" s="31"/>
      <c r="G70" s="31"/>
      <c r="H70" s="25">
        <v>1986</v>
      </c>
      <c r="I70" s="28">
        <f t="shared" ref="I70:K85" si="41">I45/$T45</f>
        <v>6.3892064720096047E-3</v>
      </c>
      <c r="J70" s="25">
        <v>1987</v>
      </c>
      <c r="K70" s="28">
        <f t="shared" si="41"/>
        <v>0.54906277916417456</v>
      </c>
      <c r="L70" s="25">
        <v>1988</v>
      </c>
      <c r="M70" s="28">
        <f t="shared" ref="M70:M77" si="42">M45/$T45</f>
        <v>6.6799974645544657E-2</v>
      </c>
      <c r="N70" s="25">
        <v>1989</v>
      </c>
      <c r="O70" s="28">
        <f t="shared" ref="O70:O77" si="43">O45/$T45</f>
        <v>0.3757490452568869</v>
      </c>
      <c r="P70" s="25">
        <v>1990</v>
      </c>
      <c r="Q70" s="28">
        <f t="shared" ref="Q70:Q77" si="44">Q45/$T45</f>
        <v>0</v>
      </c>
      <c r="R70" s="25">
        <v>1991</v>
      </c>
      <c r="S70" s="28">
        <f t="shared" ref="S70:S77" si="45">S45/$T45</f>
        <v>1.9989944613842095E-3</v>
      </c>
      <c r="U70" s="22"/>
      <c r="V70" s="27"/>
      <c r="W70" s="27"/>
      <c r="X70" s="22"/>
      <c r="Y70" s="22"/>
      <c r="Z70" s="22"/>
    </row>
    <row r="71" spans="1:26" s="21" customFormat="1">
      <c r="A71" s="22"/>
      <c r="F71" s="31"/>
      <c r="G71" s="31"/>
      <c r="H71" s="25">
        <v>1987</v>
      </c>
      <c r="I71" s="28">
        <f t="shared" si="41"/>
        <v>3.0884621466011892E-3</v>
      </c>
      <c r="J71" s="25">
        <v>1988</v>
      </c>
      <c r="K71" s="28">
        <f t="shared" si="41"/>
        <v>1.5424047381604867E-2</v>
      </c>
      <c r="L71" s="25">
        <v>1989</v>
      </c>
      <c r="M71" s="28">
        <f t="shared" si="42"/>
        <v>0.25985602743855901</v>
      </c>
      <c r="N71" s="25">
        <v>1990</v>
      </c>
      <c r="O71" s="28">
        <f t="shared" si="43"/>
        <v>0.68161947573335757</v>
      </c>
      <c r="P71" s="25">
        <v>1991</v>
      </c>
      <c r="Q71" s="28">
        <f t="shared" si="44"/>
        <v>4.0011987299877379E-2</v>
      </c>
      <c r="R71" s="25">
        <v>1992</v>
      </c>
      <c r="S71" s="28">
        <f t="shared" si="45"/>
        <v>0</v>
      </c>
      <c r="U71" s="22"/>
      <c r="V71" s="27"/>
      <c r="W71" s="27"/>
      <c r="X71" s="22"/>
      <c r="Y71" s="22"/>
      <c r="Z71" s="22"/>
    </row>
    <row r="72" spans="1:26" s="21" customFormat="1">
      <c r="A72" s="22"/>
      <c r="F72" s="31"/>
      <c r="G72" s="31"/>
      <c r="H72" s="25">
        <v>1988</v>
      </c>
      <c r="I72" s="28">
        <f t="shared" si="41"/>
        <v>0</v>
      </c>
      <c r="J72" s="25">
        <v>1989</v>
      </c>
      <c r="K72" s="28">
        <f t="shared" si="41"/>
        <v>5.7652176917928288E-2</v>
      </c>
      <c r="L72" s="25">
        <v>1990</v>
      </c>
      <c r="M72" s="28">
        <f t="shared" si="42"/>
        <v>0.14207883514757527</v>
      </c>
      <c r="N72" s="25">
        <v>1991</v>
      </c>
      <c r="O72" s="28">
        <f t="shared" si="43"/>
        <v>0.79620422050451012</v>
      </c>
      <c r="P72" s="25">
        <v>1992</v>
      </c>
      <c r="Q72" s="28">
        <f t="shared" si="44"/>
        <v>4.0647674299862224E-3</v>
      </c>
      <c r="R72" s="25">
        <v>1993</v>
      </c>
      <c r="S72" s="28">
        <f t="shared" si="45"/>
        <v>0</v>
      </c>
      <c r="U72" s="22"/>
      <c r="V72" s="27"/>
      <c r="W72" s="27"/>
      <c r="X72" s="22"/>
      <c r="Y72" s="22"/>
      <c r="Z72" s="22"/>
    </row>
    <row r="73" spans="1:26" s="21" customFormat="1">
      <c r="A73" s="22"/>
      <c r="F73" s="31"/>
      <c r="G73" s="31"/>
      <c r="H73" s="25">
        <v>1989</v>
      </c>
      <c r="I73" s="28">
        <f t="shared" si="41"/>
        <v>1.7912452458649364E-2</v>
      </c>
      <c r="J73" s="25">
        <v>1990</v>
      </c>
      <c r="K73" s="28">
        <f t="shared" si="41"/>
        <v>0.45476800277175722</v>
      </c>
      <c r="L73" s="25">
        <v>1991</v>
      </c>
      <c r="M73" s="28">
        <f t="shared" si="42"/>
        <v>0.17276929453352233</v>
      </c>
      <c r="N73" s="25">
        <v>1992</v>
      </c>
      <c r="O73" s="28">
        <f t="shared" si="43"/>
        <v>0.32661601248515554</v>
      </c>
      <c r="P73" s="25">
        <v>1993</v>
      </c>
      <c r="Q73" s="28">
        <f t="shared" si="44"/>
        <v>2.7934237750915414E-2</v>
      </c>
      <c r="R73" s="25">
        <v>1994</v>
      </c>
      <c r="S73" s="28">
        <f t="shared" si="45"/>
        <v>0</v>
      </c>
      <c r="U73" s="22"/>
      <c r="V73" s="27"/>
      <c r="W73" s="27"/>
      <c r="X73" s="22"/>
      <c r="Y73" s="22"/>
      <c r="Z73" s="22"/>
    </row>
    <row r="74" spans="1:26" s="21" customFormat="1">
      <c r="A74" s="22"/>
      <c r="F74" s="31"/>
      <c r="G74" s="31"/>
      <c r="H74" s="25">
        <v>1990</v>
      </c>
      <c r="I74" s="28">
        <f t="shared" si="41"/>
        <v>3.9793040864749447E-2</v>
      </c>
      <c r="J74" s="25">
        <v>1991</v>
      </c>
      <c r="K74" s="28">
        <f t="shared" si="41"/>
        <v>0.33534586434180613</v>
      </c>
      <c r="L74" s="25">
        <v>1992</v>
      </c>
      <c r="M74" s="28">
        <f t="shared" si="42"/>
        <v>0.24863061469657705</v>
      </c>
      <c r="N74" s="25">
        <v>1993</v>
      </c>
      <c r="O74" s="28">
        <f t="shared" si="43"/>
        <v>0.31916136043893695</v>
      </c>
      <c r="P74" s="25">
        <v>1994</v>
      </c>
      <c r="Q74" s="28">
        <f t="shared" si="44"/>
        <v>5.7069119657930344E-2</v>
      </c>
      <c r="R74" s="25">
        <v>1995</v>
      </c>
      <c r="S74" s="28">
        <f t="shared" si="45"/>
        <v>0</v>
      </c>
      <c r="U74" s="22"/>
      <c r="V74" s="27"/>
      <c r="W74" s="27"/>
      <c r="X74" s="22"/>
      <c r="Y74" s="22"/>
      <c r="Z74" s="22"/>
    </row>
    <row r="75" spans="1:26" s="21" customFormat="1">
      <c r="A75" s="22"/>
      <c r="F75" s="31"/>
      <c r="G75" s="31"/>
      <c r="H75" s="25">
        <v>1991</v>
      </c>
      <c r="I75" s="28">
        <f t="shared" si="41"/>
        <v>5.3732785613472868E-3</v>
      </c>
      <c r="J75" s="25">
        <v>1992</v>
      </c>
      <c r="K75" s="28">
        <f t="shared" si="41"/>
        <v>8.6241041591945816E-2</v>
      </c>
      <c r="L75" s="25">
        <v>1993</v>
      </c>
      <c r="M75" s="28">
        <f t="shared" si="42"/>
        <v>0.10461686139220809</v>
      </c>
      <c r="N75" s="25">
        <v>1994</v>
      </c>
      <c r="O75" s="28">
        <f t="shared" si="43"/>
        <v>0.79884072959735186</v>
      </c>
      <c r="P75" s="25">
        <v>1995</v>
      </c>
      <c r="Q75" s="28">
        <f t="shared" si="44"/>
        <v>4.9280888571469226E-3</v>
      </c>
      <c r="R75" s="25">
        <v>1996</v>
      </c>
      <c r="S75" s="28">
        <f t="shared" si="45"/>
        <v>0</v>
      </c>
      <c r="U75" s="22"/>
      <c r="V75" s="27"/>
      <c r="W75" s="27"/>
      <c r="X75" s="22"/>
      <c r="Y75" s="22"/>
      <c r="Z75" s="22"/>
    </row>
    <row r="76" spans="1:26" s="21" customFormat="1">
      <c r="A76" s="22"/>
      <c r="F76" s="31"/>
      <c r="G76" s="31"/>
      <c r="H76" s="25">
        <v>1992</v>
      </c>
      <c r="I76" s="28">
        <f t="shared" si="41"/>
        <v>2.9354644451721403E-2</v>
      </c>
      <c r="J76" s="25">
        <v>1993</v>
      </c>
      <c r="K76" s="28">
        <f t="shared" si="41"/>
        <v>0.36074687479548384</v>
      </c>
      <c r="L76" s="25">
        <v>1994</v>
      </c>
      <c r="M76" s="28">
        <f t="shared" si="42"/>
        <v>0.53222174444958648</v>
      </c>
      <c r="N76" s="25">
        <v>1995</v>
      </c>
      <c r="O76" s="28">
        <f t="shared" si="43"/>
        <v>7.7090610916959762E-2</v>
      </c>
      <c r="P76" s="25">
        <v>1996</v>
      </c>
      <c r="Q76" s="28">
        <f t="shared" si="44"/>
        <v>5.8612538624844756E-4</v>
      </c>
      <c r="R76" s="25">
        <v>1997</v>
      </c>
      <c r="S76" s="28">
        <f t="shared" si="45"/>
        <v>0</v>
      </c>
      <c r="U76" s="22"/>
      <c r="V76" s="27"/>
      <c r="W76" s="27"/>
      <c r="X76" s="22"/>
      <c r="Y76" s="22"/>
      <c r="Z76" s="22"/>
    </row>
    <row r="77" spans="1:26" s="21" customFormat="1">
      <c r="A77" s="22"/>
      <c r="F77" s="31"/>
      <c r="G77" s="31"/>
      <c r="H77" s="25">
        <v>1993</v>
      </c>
      <c r="I77" s="28">
        <f t="shared" si="41"/>
        <v>7.2534738004720435E-3</v>
      </c>
      <c r="J77" s="25">
        <v>1994</v>
      </c>
      <c r="K77" s="28">
        <f t="shared" si="41"/>
        <v>0.30123909488791284</v>
      </c>
      <c r="L77" s="25">
        <v>1995</v>
      </c>
      <c r="M77" s="28">
        <f t="shared" si="42"/>
        <v>0.62017445825321704</v>
      </c>
      <c r="N77" s="25">
        <v>1996</v>
      </c>
      <c r="O77" s="28">
        <f t="shared" si="43"/>
        <v>7.1332973058397947E-2</v>
      </c>
      <c r="P77" s="25">
        <v>1997</v>
      </c>
      <c r="Q77" s="28">
        <f t="shared" si="44"/>
        <v>0</v>
      </c>
      <c r="R77" s="25">
        <v>1998</v>
      </c>
      <c r="S77" s="28">
        <f t="shared" si="45"/>
        <v>0</v>
      </c>
      <c r="U77" s="22"/>
      <c r="V77" s="27"/>
      <c r="W77" s="27"/>
      <c r="X77" s="22"/>
      <c r="Y77" s="22"/>
      <c r="Z77" s="22"/>
    </row>
    <row r="78" spans="1:26" s="21" customFormat="1">
      <c r="A78" s="22"/>
      <c r="F78" s="31"/>
      <c r="G78" s="31"/>
      <c r="H78" s="25">
        <v>1994</v>
      </c>
      <c r="I78" s="28"/>
      <c r="J78" s="25">
        <v>1995</v>
      </c>
      <c r="K78" s="28"/>
      <c r="L78" s="25">
        <v>1996</v>
      </c>
      <c r="M78" s="28"/>
      <c r="N78" s="25">
        <v>1997</v>
      </c>
      <c r="O78" s="28"/>
      <c r="P78" s="25">
        <v>1998</v>
      </c>
      <c r="Q78" s="28"/>
      <c r="R78" s="25">
        <v>1999</v>
      </c>
      <c r="S78" s="28"/>
      <c r="U78" s="22"/>
      <c r="V78" s="27"/>
      <c r="W78" s="27"/>
      <c r="X78" s="22"/>
      <c r="Y78" s="22"/>
      <c r="Z78" s="22"/>
    </row>
    <row r="79" spans="1:26" s="21" customFormat="1">
      <c r="A79" s="22"/>
      <c r="F79" s="31"/>
      <c r="G79" s="31"/>
      <c r="H79" s="25">
        <v>1995</v>
      </c>
      <c r="I79" s="28"/>
      <c r="J79" s="25">
        <v>1996</v>
      </c>
      <c r="K79" s="28"/>
      <c r="L79" s="25">
        <v>1997</v>
      </c>
      <c r="M79" s="28"/>
      <c r="N79" s="25">
        <v>1998</v>
      </c>
      <c r="O79" s="28"/>
      <c r="P79" s="25">
        <v>1999</v>
      </c>
      <c r="Q79" s="28"/>
      <c r="R79" s="25">
        <v>2000</v>
      </c>
      <c r="S79" s="28"/>
      <c r="U79" s="22"/>
      <c r="V79" s="27"/>
      <c r="W79" s="27"/>
      <c r="X79" s="22"/>
      <c r="Y79" s="22"/>
      <c r="Z79" s="22"/>
    </row>
    <row r="80" spans="1:26" s="21" customFormat="1">
      <c r="A80" s="22"/>
      <c r="F80" s="31"/>
      <c r="G80" s="31"/>
      <c r="H80" s="25">
        <v>1996</v>
      </c>
      <c r="I80" s="28"/>
      <c r="J80" s="25">
        <v>1997</v>
      </c>
      <c r="K80" s="28"/>
      <c r="L80" s="25">
        <v>1998</v>
      </c>
      <c r="M80" s="28"/>
      <c r="N80" s="25">
        <v>1999</v>
      </c>
      <c r="O80" s="28"/>
      <c r="P80" s="25">
        <v>2000</v>
      </c>
      <c r="Q80" s="28"/>
      <c r="R80" s="25">
        <v>2001</v>
      </c>
      <c r="S80" s="28"/>
      <c r="U80" s="22"/>
      <c r="V80" s="27"/>
      <c r="W80" s="27"/>
      <c r="X80" s="22"/>
      <c r="Y80" s="22"/>
      <c r="Z80" s="22"/>
    </row>
    <row r="81" spans="1:26" s="21" customFormat="1">
      <c r="A81" s="22"/>
      <c r="F81" s="31"/>
      <c r="G81" s="31"/>
      <c r="H81" s="25">
        <v>1997</v>
      </c>
      <c r="I81" s="28"/>
      <c r="J81" s="25">
        <v>1998</v>
      </c>
      <c r="K81" s="28"/>
      <c r="L81" s="25">
        <v>1999</v>
      </c>
      <c r="M81" s="28"/>
      <c r="N81" s="25">
        <v>2000</v>
      </c>
      <c r="O81" s="28"/>
      <c r="P81" s="25">
        <v>2001</v>
      </c>
      <c r="Q81" s="28"/>
      <c r="R81" s="25">
        <v>2002</v>
      </c>
      <c r="S81" s="28"/>
      <c r="U81" s="22"/>
      <c r="V81" s="27"/>
      <c r="W81" s="27"/>
      <c r="X81" s="22"/>
      <c r="Y81" s="22"/>
      <c r="Z81" s="22"/>
    </row>
    <row r="82" spans="1:26" s="21" customFormat="1">
      <c r="A82" s="22"/>
      <c r="F82" s="31"/>
      <c r="G82" s="31"/>
      <c r="H82" s="25">
        <v>1998</v>
      </c>
      <c r="I82" s="28"/>
      <c r="J82" s="25">
        <v>1999</v>
      </c>
      <c r="K82" s="28"/>
      <c r="L82" s="25">
        <v>2000</v>
      </c>
      <c r="M82" s="28"/>
      <c r="N82" s="25">
        <v>2001</v>
      </c>
      <c r="O82" s="28"/>
      <c r="P82" s="25">
        <v>2002</v>
      </c>
      <c r="Q82" s="28"/>
      <c r="R82" s="25">
        <v>2003</v>
      </c>
      <c r="S82" s="28"/>
      <c r="U82" s="22"/>
      <c r="V82" s="27"/>
      <c r="W82" s="27"/>
      <c r="X82" s="22"/>
      <c r="Y82" s="22"/>
      <c r="Z82" s="22"/>
    </row>
    <row r="83" spans="1:26" s="21" customFormat="1">
      <c r="A83" s="22"/>
      <c r="F83" s="31"/>
      <c r="G83" s="31"/>
      <c r="H83" s="25">
        <v>1999</v>
      </c>
      <c r="I83" s="28">
        <f t="shared" si="41"/>
        <v>2.5069568860847873E-2</v>
      </c>
      <c r="J83" s="25">
        <v>2000</v>
      </c>
      <c r="K83" s="28">
        <f t="shared" si="41"/>
        <v>0.13840710362393832</v>
      </c>
      <c r="L83" s="25">
        <v>2001</v>
      </c>
      <c r="M83" s="28">
        <f t="shared" ref="M83:M91" si="46">M58/$T58</f>
        <v>0.4072251285485583</v>
      </c>
      <c r="N83" s="25">
        <v>2002</v>
      </c>
      <c r="O83" s="28">
        <f t="shared" ref="O83:O91" si="47">O58/$T58</f>
        <v>0.41605698356797738</v>
      </c>
      <c r="P83" s="25">
        <v>2003</v>
      </c>
      <c r="Q83" s="28">
        <f t="shared" ref="Q83:Q91" si="48">Q58/$T58</f>
        <v>1.3241215398678103E-2</v>
      </c>
      <c r="R83" s="25">
        <v>2004</v>
      </c>
      <c r="S83" s="28">
        <f t="shared" ref="S83:S91" si="49">S58/$T58</f>
        <v>0</v>
      </c>
      <c r="U83" s="22"/>
      <c r="V83" s="27"/>
      <c r="W83" s="27"/>
      <c r="X83" s="22"/>
      <c r="Y83" s="22"/>
      <c r="Z83" s="22"/>
    </row>
    <row r="84" spans="1:26" s="21" customFormat="1">
      <c r="A84" s="22"/>
      <c r="F84" s="31"/>
      <c r="G84" s="31"/>
      <c r="H84" s="25">
        <v>2000</v>
      </c>
      <c r="I84" s="28">
        <f t="shared" si="41"/>
        <v>5.1694158443977194E-3</v>
      </c>
      <c r="J84" s="25">
        <v>2001</v>
      </c>
      <c r="K84" s="28">
        <f t="shared" si="41"/>
        <v>6.0389774925829649E-2</v>
      </c>
      <c r="L84" s="25">
        <v>2002</v>
      </c>
      <c r="M84" s="28">
        <f t="shared" si="46"/>
        <v>0.1448904009924066</v>
      </c>
      <c r="N84" s="25">
        <v>2003</v>
      </c>
      <c r="O84" s="28">
        <f t="shared" si="47"/>
        <v>0.789550408237366</v>
      </c>
      <c r="P84" s="25">
        <v>2004</v>
      </c>
      <c r="Q84" s="28">
        <f t="shared" si="48"/>
        <v>0</v>
      </c>
      <c r="R84" s="25">
        <v>2005</v>
      </c>
      <c r="S84" s="28">
        <f t="shared" si="49"/>
        <v>0</v>
      </c>
      <c r="U84" s="22"/>
      <c r="V84" s="27"/>
      <c r="W84" s="27"/>
      <c r="X84" s="22"/>
      <c r="Y84" s="22"/>
      <c r="Z84" s="22"/>
    </row>
    <row r="85" spans="1:26" s="21" customFormat="1">
      <c r="A85" s="22"/>
      <c r="F85" s="31"/>
      <c r="G85" s="31"/>
      <c r="H85" s="25">
        <v>2001</v>
      </c>
      <c r="I85" s="28">
        <f t="shared" si="41"/>
        <v>6.0856809188634294E-3</v>
      </c>
      <c r="J85" s="25">
        <v>2002</v>
      </c>
      <c r="K85" s="28">
        <f t="shared" si="41"/>
        <v>0.44916196582626033</v>
      </c>
      <c r="L85" s="25">
        <v>2003</v>
      </c>
      <c r="M85" s="28">
        <f t="shared" si="46"/>
        <v>0.2892385561292391</v>
      </c>
      <c r="N85" s="25">
        <v>2004</v>
      </c>
      <c r="O85" s="28">
        <f t="shared" si="47"/>
        <v>0.25288595228530403</v>
      </c>
      <c r="P85" s="25">
        <v>2005</v>
      </c>
      <c r="Q85" s="28">
        <f t="shared" si="48"/>
        <v>2.6278448403332815E-3</v>
      </c>
      <c r="R85" s="25">
        <v>2006</v>
      </c>
      <c r="S85" s="28">
        <f t="shared" si="49"/>
        <v>0</v>
      </c>
      <c r="U85" s="22"/>
      <c r="V85" s="27"/>
      <c r="W85" s="27"/>
      <c r="X85" s="22"/>
      <c r="Y85" s="22"/>
      <c r="Z85" s="22"/>
    </row>
    <row r="86" spans="1:26">
      <c r="H86" s="25">
        <v>2002</v>
      </c>
      <c r="I86" s="28">
        <f t="shared" ref="I86:K91" si="50">I61/$T61</f>
        <v>8.0430605352858171E-4</v>
      </c>
      <c r="J86" s="25">
        <v>2003</v>
      </c>
      <c r="K86" s="28">
        <f t="shared" si="50"/>
        <v>7.429654188890053E-2</v>
      </c>
      <c r="L86" s="25">
        <v>2004</v>
      </c>
      <c r="M86" s="28">
        <f t="shared" si="46"/>
        <v>0.82353157546990718</v>
      </c>
      <c r="N86" s="25">
        <v>2005</v>
      </c>
      <c r="O86" s="28">
        <f t="shared" si="47"/>
        <v>0.10136757658766365</v>
      </c>
      <c r="P86" s="25">
        <v>2006</v>
      </c>
      <c r="Q86" s="28">
        <f t="shared" si="48"/>
        <v>0</v>
      </c>
      <c r="R86" s="25">
        <v>2007</v>
      </c>
      <c r="S86" s="28">
        <f t="shared" si="49"/>
        <v>0</v>
      </c>
    </row>
    <row r="87" spans="1:26" s="21" customFormat="1">
      <c r="A87" s="22"/>
      <c r="F87" s="31"/>
      <c r="G87" s="31"/>
      <c r="H87" s="25">
        <v>2003</v>
      </c>
      <c r="I87" s="28">
        <f t="shared" si="50"/>
        <v>5.3433485706104596E-4</v>
      </c>
      <c r="J87" s="25">
        <v>2004</v>
      </c>
      <c r="K87" s="28">
        <f t="shared" si="50"/>
        <v>0.41628640121331639</v>
      </c>
      <c r="L87" s="25">
        <v>2005</v>
      </c>
      <c r="M87" s="28">
        <f t="shared" si="46"/>
        <v>0.42216193164481564</v>
      </c>
      <c r="N87" s="25">
        <v>2006</v>
      </c>
      <c r="O87" s="28">
        <f t="shared" si="47"/>
        <v>0.1586842054615995</v>
      </c>
      <c r="P87" s="25">
        <v>2007</v>
      </c>
      <c r="Q87" s="28">
        <f t="shared" si="48"/>
        <v>2.3331268232075339E-3</v>
      </c>
      <c r="R87" s="25">
        <v>2008</v>
      </c>
      <c r="S87" s="28">
        <f t="shared" si="49"/>
        <v>0</v>
      </c>
      <c r="U87" s="22"/>
      <c r="V87" s="27"/>
      <c r="W87" s="27"/>
      <c r="X87" s="22"/>
      <c r="Y87" s="22"/>
      <c r="Z87" s="22"/>
    </row>
    <row r="88" spans="1:26" s="21" customFormat="1">
      <c r="A88" s="22"/>
      <c r="F88" s="31"/>
      <c r="G88" s="31"/>
      <c r="H88" s="25">
        <v>2004</v>
      </c>
      <c r="I88" s="28">
        <f t="shared" si="50"/>
        <v>1.7964357507592867E-2</v>
      </c>
      <c r="J88" s="25">
        <v>2005</v>
      </c>
      <c r="K88" s="28">
        <f t="shared" si="50"/>
        <v>0.3421157002120262</v>
      </c>
      <c r="L88" s="25">
        <v>2006</v>
      </c>
      <c r="M88" s="28">
        <f t="shared" si="46"/>
        <v>0.44119610407806109</v>
      </c>
      <c r="N88" s="25">
        <v>2007</v>
      </c>
      <c r="O88" s="28">
        <f t="shared" si="47"/>
        <v>0.19785004489014971</v>
      </c>
      <c r="P88" s="25">
        <v>2008</v>
      </c>
      <c r="Q88" s="28">
        <f t="shared" si="48"/>
        <v>8.7379331217014074E-4</v>
      </c>
      <c r="R88" s="25">
        <v>2009</v>
      </c>
      <c r="S88" s="28">
        <f t="shared" si="49"/>
        <v>0</v>
      </c>
      <c r="U88" s="22"/>
      <c r="V88" s="27"/>
      <c r="W88" s="27"/>
      <c r="X88" s="22"/>
      <c r="Y88" s="22"/>
      <c r="Z88" s="22"/>
    </row>
    <row r="89" spans="1:26">
      <c r="H89" s="25">
        <v>2005</v>
      </c>
      <c r="I89" s="28">
        <f t="shared" si="50"/>
        <v>1.0304022310969104E-2</v>
      </c>
      <c r="J89" s="25">
        <v>2006</v>
      </c>
      <c r="K89" s="28">
        <f t="shared" si="50"/>
        <v>0.51291426674708496</v>
      </c>
      <c r="L89" s="25">
        <v>2007</v>
      </c>
      <c r="M89" s="28">
        <f t="shared" si="46"/>
        <v>0.46023816361950987</v>
      </c>
      <c r="N89" s="25">
        <v>2008</v>
      </c>
      <c r="O89" s="28">
        <f t="shared" si="47"/>
        <v>1.6543547322436125E-2</v>
      </c>
      <c r="P89" s="25">
        <v>2009</v>
      </c>
      <c r="Q89" s="28">
        <f t="shared" si="48"/>
        <v>0</v>
      </c>
      <c r="R89" s="25">
        <v>2010</v>
      </c>
      <c r="S89" s="28">
        <f t="shared" si="49"/>
        <v>0</v>
      </c>
    </row>
    <row r="90" spans="1:26">
      <c r="H90" s="25">
        <v>2006</v>
      </c>
      <c r="I90" s="28">
        <f t="shared" si="50"/>
        <v>0</v>
      </c>
      <c r="J90" s="25">
        <v>2007</v>
      </c>
      <c r="K90" s="28">
        <f t="shared" si="50"/>
        <v>0.40677670296997642</v>
      </c>
      <c r="L90" s="25">
        <v>2008</v>
      </c>
      <c r="M90" s="28">
        <f t="shared" si="46"/>
        <v>0.55847148129164481</v>
      </c>
      <c r="N90" s="25">
        <v>2009</v>
      </c>
      <c r="O90" s="28">
        <f t="shared" si="47"/>
        <v>3.4751815738378877E-2</v>
      </c>
      <c r="P90" s="25">
        <v>2010</v>
      </c>
      <c r="Q90" s="28">
        <f t="shared" si="48"/>
        <v>0</v>
      </c>
      <c r="R90" s="25">
        <v>0</v>
      </c>
      <c r="S90" s="28">
        <f t="shared" si="49"/>
        <v>0</v>
      </c>
    </row>
    <row r="91" spans="1:26">
      <c r="H91" s="25">
        <v>2007</v>
      </c>
      <c r="I91" s="28">
        <f t="shared" si="50"/>
        <v>0</v>
      </c>
      <c r="J91" s="25">
        <v>2008</v>
      </c>
      <c r="K91" s="28">
        <f t="shared" si="50"/>
        <v>0.15955578912131771</v>
      </c>
      <c r="L91" s="25">
        <v>2009</v>
      </c>
      <c r="M91" s="28">
        <f t="shared" si="46"/>
        <v>0.5330584670387386</v>
      </c>
      <c r="N91" s="25">
        <v>2010</v>
      </c>
      <c r="O91" s="28">
        <f t="shared" si="47"/>
        <v>0.30738574383994371</v>
      </c>
      <c r="P91" s="25">
        <v>0</v>
      </c>
      <c r="Q91" s="28">
        <f t="shared" si="48"/>
        <v>0</v>
      </c>
      <c r="R91" s="25">
        <v>0</v>
      </c>
      <c r="S91" s="28">
        <f t="shared" si="49"/>
        <v>0</v>
      </c>
    </row>
    <row r="93" spans="1:26">
      <c r="H93" s="30" t="s">
        <v>76</v>
      </c>
      <c r="I93" s="28">
        <f>AVERAGE(I69:I91)</f>
        <v>1.0565239839246635E-2</v>
      </c>
      <c r="K93" s="28">
        <f>AVERAGE(K69:K91)</f>
        <v>0.28215995805798699</v>
      </c>
      <c r="M93" s="28">
        <f>AVERAGE(M69:M91)</f>
        <v>0.37670244635243294</v>
      </c>
      <c r="O93" s="28">
        <f>AVERAGE(O69:O91)</f>
        <v>0.32169519576603922</v>
      </c>
      <c r="Q93" s="28">
        <f>AVERAGE(Q69:Q91)</f>
        <v>8.7661047364395762E-3</v>
      </c>
      <c r="S93" s="28">
        <f>AVERAGE(S69:S91)</f>
        <v>1.1105524785467831E-4</v>
      </c>
    </row>
    <row r="94" spans="1:26">
      <c r="H94" s="30" t="s">
        <v>77</v>
      </c>
      <c r="I94" s="28">
        <f>MEDIAN(I69:I91)</f>
        <v>6.237443695436517E-3</v>
      </c>
      <c r="K94" s="28">
        <f>MEDIAN(K69:K91)</f>
        <v>0.33873078227691616</v>
      </c>
      <c r="M94" s="28">
        <f>MEDIAN(M69:M91)</f>
        <v>0.41469353009668697</v>
      </c>
      <c r="O94" s="28">
        <f>MEDIAN(O69:O91)</f>
        <v>0.28013584806262387</v>
      </c>
      <c r="Q94" s="28">
        <f>MEDIAN(Q69:Q91)</f>
        <v>1.6034600676888373E-3</v>
      </c>
      <c r="S94" s="28">
        <f>MEDIAN(S69:S91)</f>
        <v>0</v>
      </c>
    </row>
  </sheetData>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Z41"/>
  <sheetViews>
    <sheetView workbookViewId="0">
      <pane xSplit="1" ySplit="4" topLeftCell="B5" activePane="bottomRight" state="frozen"/>
      <selection pane="topRight" activeCell="B1" sqref="B1"/>
      <selection pane="bottomLeft" activeCell="A4" sqref="A4"/>
      <selection pane="bottomRight" activeCell="D21" sqref="D21"/>
    </sheetView>
  </sheetViews>
  <sheetFormatPr baseColWidth="10" defaultColWidth="8.83203125" defaultRowHeight="14" x14ac:dyDescent="0"/>
  <cols>
    <col min="1" max="1" width="18.33203125" style="22" customWidth="1"/>
    <col min="2" max="8" width="8.83203125" style="22"/>
    <col min="9" max="23" width="6" style="22" customWidth="1"/>
    <col min="24" max="16384" width="8.83203125" style="22"/>
  </cols>
  <sheetData>
    <row r="1" spans="1:26">
      <c r="A1" s="20" t="s">
        <v>59</v>
      </c>
      <c r="D1" s="22" t="s">
        <v>190</v>
      </c>
      <c r="J1" s="131">
        <f>SUM(J5:J39)/SUM(I5:J39)</f>
        <v>0.99276859504132231</v>
      </c>
      <c r="L1" s="131">
        <f>SUM(L5:L39)/SUM(K5:M39)</f>
        <v>0.87307942003895256</v>
      </c>
      <c r="O1" s="131">
        <f>SUM(O5:O39)/SUM(N5:P39)</f>
        <v>0.40167949615115467</v>
      </c>
      <c r="R1" s="131">
        <f>SUM(R5:R39)/SUM(Q5:S39)</f>
        <v>0.95475353987011602</v>
      </c>
      <c r="U1" s="131">
        <f>SUM(U5:U39)/SUM(T5:V39)</f>
        <v>0.71111111111111114</v>
      </c>
    </row>
    <row r="2" spans="1:26">
      <c r="A2" s="20"/>
      <c r="B2" s="60"/>
      <c r="C2" s="60"/>
      <c r="D2" s="60"/>
      <c r="E2" s="60"/>
      <c r="F2" s="60"/>
      <c r="G2" s="60"/>
      <c r="H2" s="60"/>
      <c r="I2" s="37" t="s">
        <v>67</v>
      </c>
      <c r="J2" s="37"/>
      <c r="K2" s="37"/>
      <c r="L2" s="37"/>
      <c r="M2" s="37"/>
      <c r="N2" s="37"/>
      <c r="O2" s="37"/>
      <c r="P2" s="37"/>
      <c r="Q2" s="37"/>
      <c r="R2" s="37"/>
      <c r="S2" s="37"/>
      <c r="T2" s="37"/>
      <c r="U2" s="37"/>
      <c r="V2" s="37"/>
      <c r="W2" s="37"/>
      <c r="X2" s="37"/>
      <c r="Y2" s="37"/>
    </row>
    <row r="3" spans="1:26">
      <c r="A3" s="33"/>
      <c r="B3" s="61" t="s">
        <v>60</v>
      </c>
      <c r="C3" s="61"/>
      <c r="D3" s="62" t="s">
        <v>63</v>
      </c>
      <c r="E3" s="62" t="s">
        <v>63</v>
      </c>
      <c r="F3" s="61"/>
      <c r="G3" s="61"/>
      <c r="H3" s="61"/>
      <c r="I3" s="39" t="s">
        <v>61</v>
      </c>
      <c r="J3" s="39" t="s">
        <v>61</v>
      </c>
      <c r="K3" s="39" t="s">
        <v>62</v>
      </c>
      <c r="L3" s="39" t="s">
        <v>62</v>
      </c>
      <c r="M3" s="39" t="s">
        <v>62</v>
      </c>
      <c r="N3" s="133" t="s">
        <v>63</v>
      </c>
      <c r="O3" s="133" t="s">
        <v>63</v>
      </c>
      <c r="P3" s="39" t="s">
        <v>63</v>
      </c>
      <c r="Q3" s="39" t="s">
        <v>64</v>
      </c>
      <c r="R3" s="39" t="s">
        <v>64</v>
      </c>
      <c r="S3" s="39" t="s">
        <v>64</v>
      </c>
      <c r="T3" s="39" t="s">
        <v>65</v>
      </c>
      <c r="U3" s="39" t="s">
        <v>65</v>
      </c>
      <c r="V3" s="39" t="s">
        <v>65</v>
      </c>
      <c r="W3" s="39" t="s">
        <v>66</v>
      </c>
      <c r="X3" s="39" t="s">
        <v>68</v>
      </c>
      <c r="Y3" s="39" t="s">
        <v>13</v>
      </c>
    </row>
    <row r="4" spans="1:26">
      <c r="A4" s="33"/>
      <c r="B4" s="62" t="s">
        <v>61</v>
      </c>
      <c r="C4" s="62" t="s">
        <v>62</v>
      </c>
      <c r="D4" s="132" t="s">
        <v>37</v>
      </c>
      <c r="E4" s="132" t="s">
        <v>40</v>
      </c>
      <c r="F4" s="62" t="s">
        <v>64</v>
      </c>
      <c r="G4" s="62" t="s">
        <v>65</v>
      </c>
      <c r="H4" s="62" t="s">
        <v>66</v>
      </c>
      <c r="I4" s="58" t="s">
        <v>33</v>
      </c>
      <c r="J4" s="132" t="s">
        <v>35</v>
      </c>
      <c r="K4" s="58" t="s">
        <v>34</v>
      </c>
      <c r="L4" s="132" t="s">
        <v>36</v>
      </c>
      <c r="M4" s="58" t="s">
        <v>39</v>
      </c>
      <c r="N4" s="132" t="s">
        <v>37</v>
      </c>
      <c r="O4" s="132" t="s">
        <v>40</v>
      </c>
      <c r="P4" s="58" t="s">
        <v>43</v>
      </c>
      <c r="Q4" s="58" t="s">
        <v>38</v>
      </c>
      <c r="R4" s="132" t="s">
        <v>41</v>
      </c>
      <c r="S4" s="58" t="s">
        <v>44</v>
      </c>
      <c r="T4" s="58" t="s">
        <v>42</v>
      </c>
      <c r="U4" s="132" t="s">
        <v>45</v>
      </c>
      <c r="V4" s="58" t="s">
        <v>47</v>
      </c>
      <c r="W4" s="58" t="s">
        <v>46</v>
      </c>
      <c r="X4" s="58" t="s">
        <v>54</v>
      </c>
      <c r="Y4" s="58" t="s">
        <v>54</v>
      </c>
    </row>
    <row r="5" spans="1:26">
      <c r="A5" s="34">
        <v>1982</v>
      </c>
      <c r="B5" s="63">
        <f t="shared" ref="B5:B20" si="0">SUM(I5:J5)/Y5</f>
        <v>3.3783783783783786E-3</v>
      </c>
      <c r="C5" s="63">
        <f t="shared" ref="C5:C20" si="1">SUM(K5:M5)/Y5</f>
        <v>0.19256756756756757</v>
      </c>
      <c r="D5" s="135">
        <f>SUM(N5)/$Y5</f>
        <v>0.46959459459459457</v>
      </c>
      <c r="E5" s="135">
        <f>SUM(O5)/$Y5</f>
        <v>0.1554054054054054</v>
      </c>
      <c r="F5" s="63">
        <f t="shared" ref="F5:F20" si="2">SUM(Q5:S5)/Y5</f>
        <v>0.12837837837837837</v>
      </c>
      <c r="G5" s="63">
        <f t="shared" ref="G5:G20" si="3">SUM(T5:V5)/Y5</f>
        <v>4.72972972972973E-2</v>
      </c>
      <c r="H5" s="63">
        <f t="shared" ref="H5:H20" si="4">W5/Y5</f>
        <v>0</v>
      </c>
      <c r="I5" s="59">
        <v>1</v>
      </c>
      <c r="J5" s="59"/>
      <c r="K5" s="59">
        <v>2</v>
      </c>
      <c r="L5" s="59">
        <v>55</v>
      </c>
      <c r="M5" s="59"/>
      <c r="N5" s="59">
        <v>139</v>
      </c>
      <c r="O5" s="59">
        <v>46</v>
      </c>
      <c r="P5" s="59">
        <v>1</v>
      </c>
      <c r="Q5" s="59">
        <v>6</v>
      </c>
      <c r="R5" s="59">
        <v>24</v>
      </c>
      <c r="S5" s="59">
        <v>8</v>
      </c>
      <c r="T5" s="59">
        <v>11</v>
      </c>
      <c r="U5" s="59">
        <v>3</v>
      </c>
      <c r="V5" s="59"/>
      <c r="W5" s="59"/>
      <c r="X5" s="59">
        <v>38</v>
      </c>
      <c r="Y5" s="37">
        <f t="shared" ref="Y5:Y20" si="5">SUM(I5:W5)</f>
        <v>296</v>
      </c>
      <c r="Z5" s="28">
        <f t="shared" ref="Z5:Z20" si="6">SUM(B5:H5)</f>
        <v>0.9966216216216216</v>
      </c>
    </row>
    <row r="6" spans="1:26">
      <c r="A6" s="34">
        <v>1983</v>
      </c>
      <c r="B6" s="63">
        <f t="shared" si="0"/>
        <v>3.3557046979865771E-3</v>
      </c>
      <c r="C6" s="63">
        <f t="shared" si="1"/>
        <v>0.24832214765100671</v>
      </c>
      <c r="D6" s="135">
        <f t="shared" ref="D6:D20" si="7">SUM(N6)/$Y6</f>
        <v>0.42505592841163309</v>
      </c>
      <c r="E6" s="135">
        <f t="shared" ref="E6:E20" si="8">SUM(O6)/$Y6</f>
        <v>0.24384787472035793</v>
      </c>
      <c r="F6" s="63">
        <f t="shared" si="2"/>
        <v>7.7181208053691275E-2</v>
      </c>
      <c r="G6" s="63">
        <f t="shared" si="3"/>
        <v>2.2371364653243847E-3</v>
      </c>
      <c r="H6" s="63">
        <f t="shared" si="4"/>
        <v>0</v>
      </c>
      <c r="I6" s="59">
        <v>2</v>
      </c>
      <c r="J6" s="59">
        <v>1</v>
      </c>
      <c r="K6" s="59">
        <v>3</v>
      </c>
      <c r="L6" s="59">
        <v>189</v>
      </c>
      <c r="M6" s="59">
        <v>30</v>
      </c>
      <c r="N6" s="59">
        <v>380</v>
      </c>
      <c r="O6" s="59">
        <v>218</v>
      </c>
      <c r="P6" s="59"/>
      <c r="Q6" s="59"/>
      <c r="R6" s="59">
        <v>63</v>
      </c>
      <c r="S6" s="59">
        <v>6</v>
      </c>
      <c r="T6" s="59"/>
      <c r="U6" s="59">
        <v>2</v>
      </c>
      <c r="V6" s="59"/>
      <c r="W6" s="59"/>
      <c r="X6" s="59">
        <v>306</v>
      </c>
      <c r="Y6" s="37">
        <f t="shared" si="5"/>
        <v>894</v>
      </c>
      <c r="Z6" s="28">
        <f t="shared" si="6"/>
        <v>1</v>
      </c>
    </row>
    <row r="7" spans="1:26">
      <c r="A7" s="34">
        <v>1984</v>
      </c>
      <c r="B7" s="63">
        <f t="shared" si="0"/>
        <v>0</v>
      </c>
      <c r="C7" s="63">
        <f t="shared" si="1"/>
        <v>6.3685636856368563E-2</v>
      </c>
      <c r="D7" s="135">
        <f t="shared" si="7"/>
        <v>0.22764227642276422</v>
      </c>
      <c r="E7" s="135">
        <f t="shared" si="8"/>
        <v>0.43495934959349591</v>
      </c>
      <c r="F7" s="63">
        <f t="shared" si="2"/>
        <v>0.26151761517615174</v>
      </c>
      <c r="G7" s="63">
        <f t="shared" si="3"/>
        <v>1.0840108401084011E-2</v>
      </c>
      <c r="H7" s="63">
        <f t="shared" si="4"/>
        <v>0</v>
      </c>
      <c r="I7" s="59"/>
      <c r="J7" s="59"/>
      <c r="K7" s="59"/>
      <c r="L7" s="59">
        <v>46</v>
      </c>
      <c r="M7" s="59">
        <v>1</v>
      </c>
      <c r="N7" s="59">
        <v>168</v>
      </c>
      <c r="O7" s="59">
        <v>321</v>
      </c>
      <c r="P7" s="59">
        <v>1</v>
      </c>
      <c r="Q7" s="59"/>
      <c r="R7" s="59">
        <v>190</v>
      </c>
      <c r="S7" s="59">
        <v>3</v>
      </c>
      <c r="T7" s="59"/>
      <c r="U7" s="59">
        <v>7</v>
      </c>
      <c r="V7" s="59">
        <v>1</v>
      </c>
      <c r="W7" s="59"/>
      <c r="X7" s="59">
        <v>298</v>
      </c>
      <c r="Y7" s="37">
        <f t="shared" si="5"/>
        <v>738</v>
      </c>
      <c r="Z7" s="28">
        <f t="shared" si="6"/>
        <v>0.99864498644986444</v>
      </c>
    </row>
    <row r="8" spans="1:26">
      <c r="A8" s="34">
        <v>1985</v>
      </c>
      <c r="B8" s="63">
        <f t="shared" si="0"/>
        <v>6.8649885583524023E-3</v>
      </c>
      <c r="C8" s="63">
        <f t="shared" si="1"/>
        <v>1.2585812356979404E-2</v>
      </c>
      <c r="D8" s="135">
        <f t="shared" si="7"/>
        <v>9.1533180778032033E-2</v>
      </c>
      <c r="E8" s="135">
        <f t="shared" si="8"/>
        <v>0.21395881006864989</v>
      </c>
      <c r="F8" s="63">
        <f t="shared" si="2"/>
        <v>0.65102974828375282</v>
      </c>
      <c r="G8" s="63">
        <f t="shared" si="3"/>
        <v>2.2883295194508008E-2</v>
      </c>
      <c r="H8" s="63">
        <f t="shared" si="4"/>
        <v>0</v>
      </c>
      <c r="I8" s="59"/>
      <c r="J8" s="59">
        <v>6</v>
      </c>
      <c r="K8" s="59"/>
      <c r="L8" s="59">
        <v>10</v>
      </c>
      <c r="M8" s="59">
        <v>1</v>
      </c>
      <c r="N8" s="59">
        <v>80</v>
      </c>
      <c r="O8" s="59">
        <v>187</v>
      </c>
      <c r="P8" s="59">
        <v>1</v>
      </c>
      <c r="Q8" s="59">
        <v>2</v>
      </c>
      <c r="R8" s="59">
        <v>551</v>
      </c>
      <c r="S8" s="59">
        <v>16</v>
      </c>
      <c r="T8" s="59">
        <v>3</v>
      </c>
      <c r="U8" s="59">
        <v>17</v>
      </c>
      <c r="V8" s="59"/>
      <c r="W8" s="59"/>
      <c r="X8" s="59">
        <v>297</v>
      </c>
      <c r="Y8" s="37">
        <f t="shared" si="5"/>
        <v>874</v>
      </c>
      <c r="Z8" s="28">
        <f t="shared" si="6"/>
        <v>0.99885583524027466</v>
      </c>
    </row>
    <row r="9" spans="1:26">
      <c r="A9" s="34">
        <v>1986</v>
      </c>
      <c r="B9" s="63">
        <f t="shared" si="0"/>
        <v>7.0038910505836579E-3</v>
      </c>
      <c r="C9" s="63">
        <f t="shared" si="1"/>
        <v>0.1828793774319066</v>
      </c>
      <c r="D9" s="135">
        <f t="shared" si="7"/>
        <v>0.10194552529182879</v>
      </c>
      <c r="E9" s="135">
        <f t="shared" si="8"/>
        <v>0.22023346303501945</v>
      </c>
      <c r="F9" s="63">
        <f t="shared" si="2"/>
        <v>0.4793774319066148</v>
      </c>
      <c r="G9" s="63">
        <f t="shared" si="3"/>
        <v>8.5603112840466934E-3</v>
      </c>
      <c r="H9" s="63">
        <f t="shared" si="4"/>
        <v>0</v>
      </c>
      <c r="I9" s="59"/>
      <c r="J9" s="59">
        <v>9</v>
      </c>
      <c r="K9" s="59">
        <v>1</v>
      </c>
      <c r="L9" s="59">
        <v>208</v>
      </c>
      <c r="M9" s="59">
        <v>26</v>
      </c>
      <c r="N9" s="59">
        <v>131</v>
      </c>
      <c r="O9" s="59">
        <v>283</v>
      </c>
      <c r="P9" s="59"/>
      <c r="Q9" s="59">
        <v>1</v>
      </c>
      <c r="R9" s="59">
        <v>594</v>
      </c>
      <c r="S9" s="59">
        <v>21</v>
      </c>
      <c r="T9" s="59">
        <v>2</v>
      </c>
      <c r="U9" s="59">
        <v>9</v>
      </c>
      <c r="V9" s="59"/>
      <c r="W9" s="59"/>
      <c r="X9" s="59">
        <v>250</v>
      </c>
      <c r="Y9" s="37">
        <f t="shared" si="5"/>
        <v>1285</v>
      </c>
      <c r="Z9" s="28">
        <f t="shared" si="6"/>
        <v>1</v>
      </c>
    </row>
    <row r="10" spans="1:26">
      <c r="A10" s="34">
        <v>1987</v>
      </c>
      <c r="B10" s="63">
        <f t="shared" si="0"/>
        <v>6.6100094428706326E-3</v>
      </c>
      <c r="C10" s="63">
        <f t="shared" si="1"/>
        <v>0.41265344664778092</v>
      </c>
      <c r="D10" s="135">
        <f t="shared" si="7"/>
        <v>0.19357884796978281</v>
      </c>
      <c r="E10" s="135">
        <f t="shared" si="8"/>
        <v>0.12370160528800755</v>
      </c>
      <c r="F10" s="63">
        <f t="shared" si="2"/>
        <v>0.26062322946175637</v>
      </c>
      <c r="G10" s="63">
        <f t="shared" si="3"/>
        <v>2.8328611898016999E-3</v>
      </c>
      <c r="H10" s="63">
        <f t="shared" si="4"/>
        <v>0</v>
      </c>
      <c r="I10" s="59"/>
      <c r="J10" s="59">
        <v>7</v>
      </c>
      <c r="K10" s="59"/>
      <c r="L10" s="59">
        <v>252</v>
      </c>
      <c r="M10" s="59">
        <v>185</v>
      </c>
      <c r="N10" s="59">
        <v>205</v>
      </c>
      <c r="O10" s="59">
        <v>131</v>
      </c>
      <c r="P10" s="59"/>
      <c r="Q10" s="59"/>
      <c r="R10" s="59">
        <v>276</v>
      </c>
      <c r="S10" s="59"/>
      <c r="T10" s="59">
        <v>2</v>
      </c>
      <c r="U10" s="59">
        <v>1</v>
      </c>
      <c r="V10" s="59"/>
      <c r="W10" s="59"/>
      <c r="X10" s="59">
        <v>166</v>
      </c>
      <c r="Y10" s="37">
        <f t="shared" si="5"/>
        <v>1059</v>
      </c>
      <c r="Z10" s="28">
        <f t="shared" si="6"/>
        <v>1</v>
      </c>
    </row>
    <row r="11" spans="1:26">
      <c r="A11" s="34">
        <v>1988</v>
      </c>
      <c r="B11" s="63">
        <f t="shared" si="0"/>
        <v>0</v>
      </c>
      <c r="C11" s="63">
        <f t="shared" si="1"/>
        <v>0.12972972972972974</v>
      </c>
      <c r="D11" s="135">
        <f t="shared" si="7"/>
        <v>0.19729729729729731</v>
      </c>
      <c r="E11" s="135">
        <f t="shared" si="8"/>
        <v>0.57837837837837835</v>
      </c>
      <c r="F11" s="63">
        <f t="shared" si="2"/>
        <v>9.45945945945946E-2</v>
      </c>
      <c r="G11" s="63">
        <f t="shared" si="3"/>
        <v>0</v>
      </c>
      <c r="H11" s="63">
        <f t="shared" si="4"/>
        <v>0</v>
      </c>
      <c r="I11" s="59"/>
      <c r="J11" s="59"/>
      <c r="K11" s="59"/>
      <c r="L11" s="59">
        <v>48</v>
      </c>
      <c r="M11" s="59"/>
      <c r="N11" s="59">
        <v>73</v>
      </c>
      <c r="O11" s="59">
        <v>214</v>
      </c>
      <c r="P11" s="59"/>
      <c r="Q11" s="59"/>
      <c r="R11" s="59">
        <v>35</v>
      </c>
      <c r="S11" s="59"/>
      <c r="T11" s="59"/>
      <c r="U11" s="59"/>
      <c r="V11" s="59"/>
      <c r="W11" s="59"/>
      <c r="X11" s="59">
        <v>176</v>
      </c>
      <c r="Y11" s="37">
        <f t="shared" si="5"/>
        <v>370</v>
      </c>
      <c r="Z11" s="28">
        <f t="shared" si="6"/>
        <v>1</v>
      </c>
    </row>
    <row r="12" spans="1:26">
      <c r="A12" s="34">
        <v>1989</v>
      </c>
      <c r="B12" s="63">
        <f t="shared" si="0"/>
        <v>4.7875523638539795E-3</v>
      </c>
      <c r="C12" s="63">
        <f t="shared" si="1"/>
        <v>8.3183722321962902E-2</v>
      </c>
      <c r="D12" s="135">
        <f t="shared" si="7"/>
        <v>0.23099940155595453</v>
      </c>
      <c r="E12" s="135">
        <f t="shared" si="8"/>
        <v>0.56253740275284259</v>
      </c>
      <c r="F12" s="63">
        <f t="shared" si="2"/>
        <v>0.1172950329144225</v>
      </c>
      <c r="G12" s="63">
        <f t="shared" si="3"/>
        <v>5.9844404548174744E-4</v>
      </c>
      <c r="H12" s="63">
        <f t="shared" si="4"/>
        <v>0</v>
      </c>
      <c r="I12" s="59"/>
      <c r="J12" s="59">
        <v>8</v>
      </c>
      <c r="K12" s="59"/>
      <c r="L12" s="59">
        <v>93</v>
      </c>
      <c r="M12" s="59">
        <v>46</v>
      </c>
      <c r="N12" s="59">
        <v>386</v>
      </c>
      <c r="O12" s="59">
        <v>940</v>
      </c>
      <c r="P12" s="59">
        <v>1</v>
      </c>
      <c r="Q12" s="59"/>
      <c r="R12" s="59">
        <v>187</v>
      </c>
      <c r="S12" s="59">
        <v>9</v>
      </c>
      <c r="T12" s="59"/>
      <c r="U12" s="59">
        <v>1</v>
      </c>
      <c r="V12" s="59"/>
      <c r="W12" s="59"/>
      <c r="X12" s="59">
        <v>311</v>
      </c>
      <c r="Y12" s="37">
        <f t="shared" si="5"/>
        <v>1671</v>
      </c>
      <c r="Z12" s="28">
        <f t="shared" si="6"/>
        <v>0.99940155595451807</v>
      </c>
    </row>
    <row r="13" spans="1:26">
      <c r="A13" s="34">
        <v>1990</v>
      </c>
      <c r="B13" s="63">
        <f t="shared" si="0"/>
        <v>6.3745019920318727E-3</v>
      </c>
      <c r="C13" s="63">
        <f t="shared" si="1"/>
        <v>5.3386454183266929E-2</v>
      </c>
      <c r="D13" s="135">
        <f t="shared" si="7"/>
        <v>9.00398406374502E-2</v>
      </c>
      <c r="E13" s="135">
        <f t="shared" si="8"/>
        <v>0.58406374501992031</v>
      </c>
      <c r="F13" s="63">
        <f t="shared" si="2"/>
        <v>0.2661354581673307</v>
      </c>
      <c r="G13" s="63">
        <f t="shared" si="3"/>
        <v>0</v>
      </c>
      <c r="H13" s="63">
        <f t="shared" si="4"/>
        <v>0</v>
      </c>
      <c r="I13" s="59"/>
      <c r="J13" s="59">
        <v>16</v>
      </c>
      <c r="K13" s="59">
        <v>1</v>
      </c>
      <c r="L13" s="59">
        <v>130</v>
      </c>
      <c r="M13" s="59">
        <v>3</v>
      </c>
      <c r="N13" s="59">
        <v>226</v>
      </c>
      <c r="O13" s="59">
        <v>1466</v>
      </c>
      <c r="P13" s="59"/>
      <c r="Q13" s="59">
        <v>2</v>
      </c>
      <c r="R13" s="59">
        <v>656</v>
      </c>
      <c r="S13" s="59">
        <v>10</v>
      </c>
      <c r="T13" s="59"/>
      <c r="U13" s="59"/>
      <c r="V13" s="59"/>
      <c r="W13" s="59"/>
      <c r="X13" s="59">
        <v>420</v>
      </c>
      <c r="Y13" s="37">
        <f t="shared" si="5"/>
        <v>2510</v>
      </c>
      <c r="Z13" s="28">
        <f t="shared" si="6"/>
        <v>1</v>
      </c>
    </row>
    <row r="14" spans="1:26">
      <c r="A14" s="34">
        <v>1991</v>
      </c>
      <c r="B14" s="63">
        <f t="shared" si="0"/>
        <v>2.2222222222222222E-3</v>
      </c>
      <c r="C14" s="63">
        <f t="shared" si="1"/>
        <v>8.7111111111111111E-2</v>
      </c>
      <c r="D14" s="135">
        <f t="shared" si="7"/>
        <v>3.2888888888888891E-2</v>
      </c>
      <c r="E14" s="135">
        <f t="shared" si="8"/>
        <v>3.2888888888888891E-2</v>
      </c>
      <c r="F14" s="63">
        <f t="shared" si="2"/>
        <v>0.81822222222222218</v>
      </c>
      <c r="G14" s="63">
        <f t="shared" si="3"/>
        <v>2.5333333333333333E-2</v>
      </c>
      <c r="H14" s="63">
        <f t="shared" si="4"/>
        <v>4.4444444444444447E-4</v>
      </c>
      <c r="I14" s="59"/>
      <c r="J14" s="59">
        <v>5</v>
      </c>
      <c r="K14" s="59"/>
      <c r="L14" s="59">
        <v>168</v>
      </c>
      <c r="M14" s="59">
        <v>28</v>
      </c>
      <c r="N14" s="59">
        <v>74</v>
      </c>
      <c r="O14" s="59">
        <v>74</v>
      </c>
      <c r="P14" s="59">
        <v>2</v>
      </c>
      <c r="Q14" s="59">
        <v>1</v>
      </c>
      <c r="R14" s="59">
        <v>1837</v>
      </c>
      <c r="S14" s="59">
        <v>3</v>
      </c>
      <c r="T14" s="59">
        <v>4</v>
      </c>
      <c r="U14" s="59">
        <v>53</v>
      </c>
      <c r="V14" s="59"/>
      <c r="W14" s="59">
        <v>1</v>
      </c>
      <c r="X14" s="59">
        <v>351</v>
      </c>
      <c r="Y14" s="37">
        <f t="shared" si="5"/>
        <v>2250</v>
      </c>
      <c r="Z14" s="28">
        <f t="shared" si="6"/>
        <v>0.99911111111111106</v>
      </c>
    </row>
    <row r="15" spans="1:26">
      <c r="A15" s="34">
        <v>1992</v>
      </c>
      <c r="B15" s="63">
        <f t="shared" si="0"/>
        <v>7.1536144578313254E-2</v>
      </c>
      <c r="C15" s="63">
        <f t="shared" si="1"/>
        <v>0.16716867469879518</v>
      </c>
      <c r="D15" s="135">
        <f t="shared" si="7"/>
        <v>0.30271084337349397</v>
      </c>
      <c r="E15" s="135">
        <f t="shared" si="8"/>
        <v>0.14156626506024098</v>
      </c>
      <c r="F15" s="63">
        <f t="shared" si="2"/>
        <v>0.29141566265060243</v>
      </c>
      <c r="G15" s="63">
        <f t="shared" si="3"/>
        <v>1.9578313253012049E-2</v>
      </c>
      <c r="H15" s="63">
        <f t="shared" si="4"/>
        <v>0</v>
      </c>
      <c r="I15" s="59"/>
      <c r="J15" s="59">
        <v>95</v>
      </c>
      <c r="K15" s="59"/>
      <c r="L15" s="59">
        <v>137</v>
      </c>
      <c r="M15" s="59">
        <v>85</v>
      </c>
      <c r="N15" s="59">
        <v>402</v>
      </c>
      <c r="O15" s="59">
        <v>188</v>
      </c>
      <c r="P15" s="59">
        <v>8</v>
      </c>
      <c r="Q15" s="59">
        <v>2</v>
      </c>
      <c r="R15" s="59">
        <v>374</v>
      </c>
      <c r="S15" s="59">
        <v>11</v>
      </c>
      <c r="T15" s="59">
        <v>23</v>
      </c>
      <c r="U15" s="59">
        <v>3</v>
      </c>
      <c r="V15" s="59"/>
      <c r="W15" s="59"/>
      <c r="X15" s="59">
        <v>293</v>
      </c>
      <c r="Y15" s="37">
        <f t="shared" si="5"/>
        <v>1328</v>
      </c>
      <c r="Z15" s="28">
        <f t="shared" si="6"/>
        <v>0.99397590361445776</v>
      </c>
    </row>
    <row r="16" spans="1:26">
      <c r="A16" s="34">
        <v>1993</v>
      </c>
      <c r="B16" s="63">
        <f t="shared" si="0"/>
        <v>1.0743446497636441E-2</v>
      </c>
      <c r="C16" s="63">
        <f t="shared" si="1"/>
        <v>0.33347657928663516</v>
      </c>
      <c r="D16" s="135">
        <f t="shared" si="7"/>
        <v>7.6923076923076927E-2</v>
      </c>
      <c r="E16" s="135">
        <f t="shared" si="8"/>
        <v>0.42200257842715944</v>
      </c>
      <c r="F16" s="63">
        <f t="shared" si="2"/>
        <v>0.14740008594757198</v>
      </c>
      <c r="G16" s="63">
        <f t="shared" si="3"/>
        <v>9.454232917920068E-3</v>
      </c>
      <c r="H16" s="63">
        <f t="shared" si="4"/>
        <v>0</v>
      </c>
      <c r="I16" s="59"/>
      <c r="J16" s="59">
        <v>25</v>
      </c>
      <c r="K16" s="59">
        <v>1</v>
      </c>
      <c r="L16" s="59">
        <v>723</v>
      </c>
      <c r="M16" s="59">
        <v>52</v>
      </c>
      <c r="N16" s="59">
        <v>179</v>
      </c>
      <c r="O16" s="59">
        <v>982</v>
      </c>
      <c r="P16" s="59"/>
      <c r="Q16" s="59">
        <v>3</v>
      </c>
      <c r="R16" s="59">
        <v>162</v>
      </c>
      <c r="S16" s="59">
        <v>178</v>
      </c>
      <c r="T16" s="59">
        <v>1</v>
      </c>
      <c r="U16" s="59">
        <v>21</v>
      </c>
      <c r="V16" s="59"/>
      <c r="W16" s="59"/>
      <c r="X16" s="59">
        <v>361</v>
      </c>
      <c r="Y16" s="37">
        <f t="shared" si="5"/>
        <v>2327</v>
      </c>
      <c r="Z16" s="28">
        <f t="shared" si="6"/>
        <v>0.99999999999999989</v>
      </c>
    </row>
    <row r="17" spans="1:26">
      <c r="A17" s="34">
        <v>1994</v>
      </c>
      <c r="B17" s="63">
        <f t="shared" si="0"/>
        <v>9.6749226006191957E-3</v>
      </c>
      <c r="C17" s="63">
        <f t="shared" si="1"/>
        <v>0.27515479876160992</v>
      </c>
      <c r="D17" s="135">
        <f t="shared" si="7"/>
        <v>0.30340557275541796</v>
      </c>
      <c r="E17" s="135">
        <f t="shared" si="8"/>
        <v>3.2894736842105261E-2</v>
      </c>
      <c r="F17" s="63">
        <f t="shared" si="2"/>
        <v>0.36222910216718268</v>
      </c>
      <c r="G17" s="63">
        <f t="shared" si="3"/>
        <v>1.6253869969040248E-2</v>
      </c>
      <c r="H17" s="63">
        <f t="shared" si="4"/>
        <v>0</v>
      </c>
      <c r="I17" s="59"/>
      <c r="J17" s="59">
        <v>25</v>
      </c>
      <c r="K17" s="59"/>
      <c r="L17" s="59">
        <v>693</v>
      </c>
      <c r="M17" s="59">
        <v>18</v>
      </c>
      <c r="N17" s="59">
        <v>784</v>
      </c>
      <c r="O17" s="59">
        <v>85</v>
      </c>
      <c r="P17" s="59">
        <v>1</v>
      </c>
      <c r="Q17" s="59">
        <v>2</v>
      </c>
      <c r="R17" s="59">
        <v>933</v>
      </c>
      <c r="S17" s="59">
        <v>1</v>
      </c>
      <c r="T17" s="59">
        <v>2</v>
      </c>
      <c r="U17" s="59">
        <v>40</v>
      </c>
      <c r="V17" s="59"/>
      <c r="W17" s="59"/>
      <c r="X17" s="59">
        <v>391</v>
      </c>
      <c r="Y17" s="37">
        <f t="shared" si="5"/>
        <v>2584</v>
      </c>
      <c r="Z17" s="28">
        <f t="shared" si="6"/>
        <v>0.99961300309597534</v>
      </c>
    </row>
    <row r="18" spans="1:26">
      <c r="A18" s="34">
        <v>1995</v>
      </c>
      <c r="B18" s="63">
        <f t="shared" si="0"/>
        <v>9.1144708423326129E-2</v>
      </c>
      <c r="C18" s="63">
        <f t="shared" si="1"/>
        <v>0.13866090712742982</v>
      </c>
      <c r="D18" s="135">
        <f t="shared" si="7"/>
        <v>0.65701943844492439</v>
      </c>
      <c r="E18" s="135">
        <f t="shared" si="8"/>
        <v>5.9611231101511876E-2</v>
      </c>
      <c r="F18" s="63">
        <f t="shared" si="2"/>
        <v>5.0971922246220304E-2</v>
      </c>
      <c r="G18" s="63">
        <f t="shared" si="3"/>
        <v>2.5917926565874731E-3</v>
      </c>
      <c r="H18" s="63">
        <f t="shared" si="4"/>
        <v>0</v>
      </c>
      <c r="I18" s="59">
        <v>1</v>
      </c>
      <c r="J18" s="59">
        <v>210</v>
      </c>
      <c r="K18" s="59"/>
      <c r="L18" s="59">
        <v>250</v>
      </c>
      <c r="M18" s="59">
        <v>71</v>
      </c>
      <c r="N18" s="59">
        <v>1521</v>
      </c>
      <c r="O18" s="59">
        <v>138</v>
      </c>
      <c r="P18" s="59"/>
      <c r="Q18" s="59">
        <v>7</v>
      </c>
      <c r="R18" s="59">
        <v>111</v>
      </c>
      <c r="S18" s="59"/>
      <c r="T18" s="59">
        <v>6</v>
      </c>
      <c r="U18" s="59"/>
      <c r="V18" s="59"/>
      <c r="W18" s="59"/>
      <c r="X18" s="59">
        <v>363</v>
      </c>
      <c r="Y18" s="37">
        <f t="shared" si="5"/>
        <v>2315</v>
      </c>
      <c r="Z18" s="28">
        <f t="shared" si="6"/>
        <v>1</v>
      </c>
    </row>
    <row r="19" spans="1:26">
      <c r="A19" s="34">
        <v>1996</v>
      </c>
      <c r="B19" s="63">
        <f t="shared" si="0"/>
        <v>3.0245746691871456E-2</v>
      </c>
      <c r="C19" s="63">
        <f t="shared" si="1"/>
        <v>0.25267800882167613</v>
      </c>
      <c r="D19" s="135">
        <f t="shared" si="7"/>
        <v>0.25141776937618149</v>
      </c>
      <c r="E19" s="135">
        <f t="shared" si="8"/>
        <v>0.34215500945179583</v>
      </c>
      <c r="F19" s="63">
        <f t="shared" si="2"/>
        <v>0.12287334593572778</v>
      </c>
      <c r="G19" s="63">
        <f t="shared" si="3"/>
        <v>6.3011972274732201E-4</v>
      </c>
      <c r="H19" s="63">
        <f t="shared" si="4"/>
        <v>0</v>
      </c>
      <c r="I19" s="59">
        <v>1</v>
      </c>
      <c r="J19" s="59">
        <v>47</v>
      </c>
      <c r="K19" s="59">
        <v>1</v>
      </c>
      <c r="L19" s="59">
        <v>374</v>
      </c>
      <c r="M19" s="59">
        <v>26</v>
      </c>
      <c r="N19" s="59">
        <v>399</v>
      </c>
      <c r="O19" s="59">
        <v>543</v>
      </c>
      <c r="P19" s="59"/>
      <c r="Q19" s="59">
        <v>12</v>
      </c>
      <c r="R19" s="59">
        <v>179</v>
      </c>
      <c r="S19" s="59">
        <v>4</v>
      </c>
      <c r="T19" s="59">
        <v>1</v>
      </c>
      <c r="U19" s="59"/>
      <c r="V19" s="59"/>
      <c r="W19" s="59"/>
      <c r="X19" s="59">
        <v>263</v>
      </c>
      <c r="Y19" s="37">
        <f t="shared" si="5"/>
        <v>1587</v>
      </c>
      <c r="Z19" s="28">
        <f t="shared" si="6"/>
        <v>1</v>
      </c>
    </row>
    <row r="20" spans="1:26">
      <c r="A20" s="34">
        <v>1997</v>
      </c>
      <c r="B20" s="63">
        <f t="shared" si="0"/>
        <v>2.8421512898994316E-2</v>
      </c>
      <c r="C20" s="63">
        <f t="shared" si="1"/>
        <v>0.12330564057717534</v>
      </c>
      <c r="D20" s="135">
        <f t="shared" si="7"/>
        <v>0.42326191517271533</v>
      </c>
      <c r="E20" s="135">
        <f t="shared" si="8"/>
        <v>2.7984258854394404E-2</v>
      </c>
      <c r="F20" s="63">
        <f t="shared" si="2"/>
        <v>0.39702667249672058</v>
      </c>
      <c r="G20" s="63">
        <f t="shared" si="3"/>
        <v>0</v>
      </c>
      <c r="H20" s="63">
        <f t="shared" si="4"/>
        <v>0</v>
      </c>
      <c r="I20" s="59"/>
      <c r="J20" s="59">
        <v>65</v>
      </c>
      <c r="K20" s="59"/>
      <c r="L20" s="59">
        <v>252</v>
      </c>
      <c r="M20" s="59">
        <v>30</v>
      </c>
      <c r="N20" s="59">
        <v>968</v>
      </c>
      <c r="O20" s="59">
        <v>64</v>
      </c>
      <c r="P20" s="59"/>
      <c r="Q20" s="59">
        <v>4</v>
      </c>
      <c r="R20" s="59">
        <v>904</v>
      </c>
      <c r="S20" s="59"/>
      <c r="T20" s="59"/>
      <c r="U20" s="59"/>
      <c r="V20" s="59"/>
      <c r="W20" s="59"/>
      <c r="X20" s="59">
        <v>350</v>
      </c>
      <c r="Y20" s="37">
        <f t="shared" si="5"/>
        <v>2287</v>
      </c>
      <c r="Z20" s="28">
        <f t="shared" si="6"/>
        <v>1</v>
      </c>
    </row>
    <row r="21" spans="1:26">
      <c r="A21" s="34">
        <v>1998</v>
      </c>
      <c r="B21" s="63"/>
      <c r="C21" s="63"/>
      <c r="D21" s="135"/>
      <c r="E21" s="135"/>
      <c r="F21" s="63"/>
      <c r="G21" s="63"/>
      <c r="H21" s="63"/>
      <c r="I21" s="59"/>
      <c r="J21" s="59"/>
      <c r="K21" s="59"/>
      <c r="L21" s="59"/>
      <c r="M21" s="59"/>
      <c r="N21" s="59"/>
      <c r="O21" s="59"/>
      <c r="P21" s="59"/>
      <c r="Q21" s="59"/>
      <c r="R21" s="59"/>
      <c r="S21" s="59"/>
      <c r="T21" s="59"/>
      <c r="U21" s="59"/>
      <c r="V21" s="59"/>
      <c r="W21" s="59"/>
      <c r="X21" s="59"/>
      <c r="Y21" s="37"/>
      <c r="Z21" s="28"/>
    </row>
    <row r="22" spans="1:26">
      <c r="A22" s="34">
        <v>1999</v>
      </c>
      <c r="B22" s="63">
        <f t="shared" ref="B22:B35" si="9">SUM(I22:J22)/Y22</f>
        <v>2.2650056625141564E-3</v>
      </c>
      <c r="C22" s="63">
        <f t="shared" ref="C22:C35" si="10">SUM(K22:M22)/Y22</f>
        <v>1.5100037750094376E-2</v>
      </c>
      <c r="D22" s="135">
        <f t="shared" ref="D22:D39" si="11">SUM(N22)/$Y22</f>
        <v>0.83087957719894301</v>
      </c>
      <c r="E22" s="135">
        <f t="shared" ref="E22:E39" si="12">SUM(O22)/$Y22</f>
        <v>1.5100037750094375E-3</v>
      </c>
      <c r="F22" s="63">
        <f t="shared" ref="F22:F33" si="13">SUM(Q22:S22)/Y22</f>
        <v>0.15024537561343904</v>
      </c>
      <c r="G22" s="63">
        <f t="shared" ref="G22:G33" si="14">SUM(T22:V22)/Y22</f>
        <v>0</v>
      </c>
      <c r="H22" s="63">
        <f t="shared" ref="H22:H33" si="15">W22/Y22</f>
        <v>0</v>
      </c>
      <c r="I22" s="59"/>
      <c r="J22" s="59">
        <v>6</v>
      </c>
      <c r="K22" s="59"/>
      <c r="L22" s="59">
        <v>40</v>
      </c>
      <c r="M22" s="59"/>
      <c r="N22" s="59">
        <v>2201</v>
      </c>
      <c r="O22" s="59">
        <v>4</v>
      </c>
      <c r="P22" s="59"/>
      <c r="Q22" s="59"/>
      <c r="R22" s="59">
        <v>397</v>
      </c>
      <c r="S22" s="59">
        <v>1</v>
      </c>
      <c r="T22" s="59"/>
      <c r="U22" s="59"/>
      <c r="V22" s="59"/>
      <c r="W22" s="59"/>
      <c r="X22" s="59">
        <v>458</v>
      </c>
      <c r="Y22" s="37">
        <f t="shared" ref="Y22:Y39" si="16">SUM(I22:W22)</f>
        <v>2649</v>
      </c>
      <c r="Z22" s="28">
        <f t="shared" ref="Z22:Z39" si="17">SUM(B22:H22)</f>
        <v>1</v>
      </c>
    </row>
    <row r="23" spans="1:26">
      <c r="A23" s="34">
        <v>2000</v>
      </c>
      <c r="B23" s="63">
        <f t="shared" si="9"/>
        <v>2.6200873362445413E-2</v>
      </c>
      <c r="C23" s="63">
        <f t="shared" si="10"/>
        <v>0.27074235807860264</v>
      </c>
      <c r="D23" s="135">
        <f t="shared" si="11"/>
        <v>0.6324599708879185</v>
      </c>
      <c r="E23" s="135">
        <f t="shared" si="12"/>
        <v>9.4614264919941782E-3</v>
      </c>
      <c r="F23" s="63">
        <f t="shared" si="13"/>
        <v>6.1135371179039298E-2</v>
      </c>
      <c r="G23" s="63">
        <f t="shared" si="14"/>
        <v>0</v>
      </c>
      <c r="H23" s="63">
        <f t="shared" si="15"/>
        <v>0</v>
      </c>
      <c r="I23" s="59">
        <v>1</v>
      </c>
      <c r="J23" s="59">
        <v>35</v>
      </c>
      <c r="K23" s="59">
        <v>3</v>
      </c>
      <c r="L23" s="59">
        <v>367</v>
      </c>
      <c r="M23" s="59">
        <v>2</v>
      </c>
      <c r="N23" s="59">
        <v>869</v>
      </c>
      <c r="O23" s="59">
        <v>13</v>
      </c>
      <c r="P23" s="59"/>
      <c r="Q23" s="59">
        <v>80</v>
      </c>
      <c r="R23" s="59">
        <v>4</v>
      </c>
      <c r="S23" s="59"/>
      <c r="T23" s="59"/>
      <c r="U23" s="59"/>
      <c r="V23" s="59"/>
      <c r="W23" s="59"/>
      <c r="X23" s="59">
        <v>223</v>
      </c>
      <c r="Y23" s="37">
        <f t="shared" si="16"/>
        <v>1374</v>
      </c>
      <c r="Z23" s="28">
        <f t="shared" si="17"/>
        <v>1</v>
      </c>
    </row>
    <row r="24" spans="1:26">
      <c r="A24" s="34">
        <v>2001</v>
      </c>
      <c r="B24" s="63">
        <f t="shared" si="9"/>
        <v>3.736799350121852E-2</v>
      </c>
      <c r="C24" s="63">
        <f t="shared" si="10"/>
        <v>0.25751421608448416</v>
      </c>
      <c r="D24" s="135">
        <f t="shared" si="11"/>
        <v>0.67018683996750605</v>
      </c>
      <c r="E24" s="135">
        <f t="shared" si="12"/>
        <v>1.462225832656377E-2</v>
      </c>
      <c r="F24" s="63">
        <f t="shared" si="13"/>
        <v>1.949634443541836E-2</v>
      </c>
      <c r="G24" s="63">
        <f t="shared" si="14"/>
        <v>0</v>
      </c>
      <c r="H24" s="63">
        <f t="shared" si="15"/>
        <v>0</v>
      </c>
      <c r="I24" s="59"/>
      <c r="J24" s="59">
        <v>46</v>
      </c>
      <c r="K24" s="59">
        <v>2</v>
      </c>
      <c r="L24" s="59">
        <v>285</v>
      </c>
      <c r="M24" s="59">
        <v>30</v>
      </c>
      <c r="N24" s="59">
        <v>825</v>
      </c>
      <c r="O24" s="59">
        <v>18</v>
      </c>
      <c r="P24" s="59">
        <v>1</v>
      </c>
      <c r="Q24" s="59">
        <v>2</v>
      </c>
      <c r="R24" s="59">
        <v>22</v>
      </c>
      <c r="S24" s="59"/>
      <c r="T24" s="59"/>
      <c r="U24" s="59"/>
      <c r="V24" s="59"/>
      <c r="W24" s="59"/>
      <c r="X24" s="59">
        <v>498</v>
      </c>
      <c r="Y24" s="37">
        <f t="shared" si="16"/>
        <v>1231</v>
      </c>
      <c r="Z24" s="28">
        <f t="shared" si="17"/>
        <v>0.9991876523151908</v>
      </c>
    </row>
    <row r="25" spans="1:26">
      <c r="A25" s="34">
        <v>2002</v>
      </c>
      <c r="B25" s="63">
        <f t="shared" si="9"/>
        <v>1.863932898415657E-3</v>
      </c>
      <c r="C25" s="63">
        <f t="shared" si="10"/>
        <v>0.40354147250698974</v>
      </c>
      <c r="D25" s="135">
        <f t="shared" si="11"/>
        <v>9.0400745573159372E-2</v>
      </c>
      <c r="E25" s="135">
        <f t="shared" si="12"/>
        <v>0.4026095060577819</v>
      </c>
      <c r="F25" s="63">
        <f t="shared" si="13"/>
        <v>0.10018639328984157</v>
      </c>
      <c r="G25" s="63">
        <f t="shared" si="14"/>
        <v>1.3979496738117428E-3</v>
      </c>
      <c r="H25" s="63">
        <f t="shared" si="15"/>
        <v>0</v>
      </c>
      <c r="I25" s="59"/>
      <c r="J25" s="59">
        <v>4</v>
      </c>
      <c r="K25" s="59"/>
      <c r="L25" s="59">
        <v>845</v>
      </c>
      <c r="M25" s="59">
        <v>21</v>
      </c>
      <c r="N25" s="59">
        <v>194</v>
      </c>
      <c r="O25" s="59">
        <v>864</v>
      </c>
      <c r="P25" s="59"/>
      <c r="Q25" s="59">
        <v>2</v>
      </c>
      <c r="R25" s="59">
        <v>212</v>
      </c>
      <c r="S25" s="59">
        <v>1</v>
      </c>
      <c r="T25" s="59">
        <v>2</v>
      </c>
      <c r="U25" s="59">
        <v>1</v>
      </c>
      <c r="V25" s="59"/>
      <c r="W25" s="59"/>
      <c r="X25" s="59">
        <v>487</v>
      </c>
      <c r="Y25" s="37">
        <f t="shared" si="16"/>
        <v>2146</v>
      </c>
      <c r="Z25" s="28">
        <f t="shared" si="17"/>
        <v>1</v>
      </c>
    </row>
    <row r="26" spans="1:26">
      <c r="A26" s="34">
        <v>2003</v>
      </c>
      <c r="B26" s="63">
        <f t="shared" si="9"/>
        <v>5.00751126690035E-4</v>
      </c>
      <c r="C26" s="63">
        <f t="shared" si="10"/>
        <v>5.4081121682523783E-2</v>
      </c>
      <c r="D26" s="135">
        <f t="shared" si="11"/>
        <v>8.1622433650475709E-2</v>
      </c>
      <c r="E26" s="135">
        <f t="shared" si="12"/>
        <v>0.70806209313970958</v>
      </c>
      <c r="F26" s="63">
        <f t="shared" si="13"/>
        <v>0.15473209814722083</v>
      </c>
      <c r="G26" s="63">
        <f t="shared" si="14"/>
        <v>1.00150225338007E-3</v>
      </c>
      <c r="H26" s="63">
        <f t="shared" si="15"/>
        <v>0</v>
      </c>
      <c r="I26" s="59"/>
      <c r="J26" s="59">
        <v>1</v>
      </c>
      <c r="K26" s="59"/>
      <c r="L26" s="59">
        <v>98</v>
      </c>
      <c r="M26" s="59">
        <v>10</v>
      </c>
      <c r="N26" s="59">
        <v>163</v>
      </c>
      <c r="O26" s="59">
        <v>1414</v>
      </c>
      <c r="P26" s="59"/>
      <c r="Q26" s="59">
        <v>1</v>
      </c>
      <c r="R26" s="59">
        <v>308</v>
      </c>
      <c r="S26" s="59"/>
      <c r="T26" s="59">
        <v>2</v>
      </c>
      <c r="U26" s="59"/>
      <c r="V26" s="59"/>
      <c r="W26" s="59"/>
      <c r="X26" s="59">
        <v>538</v>
      </c>
      <c r="Y26" s="37">
        <f t="shared" si="16"/>
        <v>1997</v>
      </c>
      <c r="Z26" s="28">
        <f t="shared" si="17"/>
        <v>1</v>
      </c>
    </row>
    <row r="27" spans="1:26">
      <c r="A27" s="34">
        <v>2004</v>
      </c>
      <c r="B27" s="63">
        <f t="shared" si="9"/>
        <v>1.0984699882306787E-2</v>
      </c>
      <c r="C27" s="63">
        <f t="shared" si="10"/>
        <v>0.35386426049431152</v>
      </c>
      <c r="D27" s="135">
        <f t="shared" si="11"/>
        <v>0.54374264417418594</v>
      </c>
      <c r="E27" s="135">
        <f t="shared" si="12"/>
        <v>2.6677128285602196E-2</v>
      </c>
      <c r="F27" s="63">
        <f t="shared" si="13"/>
        <v>6.4731267163593564E-2</v>
      </c>
      <c r="G27" s="63">
        <f t="shared" si="14"/>
        <v>0</v>
      </c>
      <c r="H27" s="63">
        <f t="shared" si="15"/>
        <v>0</v>
      </c>
      <c r="I27" s="59"/>
      <c r="J27" s="59">
        <v>28</v>
      </c>
      <c r="K27" s="59"/>
      <c r="L27" s="59">
        <v>884</v>
      </c>
      <c r="M27" s="59">
        <v>18</v>
      </c>
      <c r="N27" s="59">
        <v>1386</v>
      </c>
      <c r="O27" s="59">
        <v>68</v>
      </c>
      <c r="P27" s="59"/>
      <c r="Q27" s="59"/>
      <c r="R27" s="59">
        <v>165</v>
      </c>
      <c r="S27" s="59"/>
      <c r="T27" s="59"/>
      <c r="U27" s="59"/>
      <c r="V27" s="59"/>
      <c r="W27" s="59"/>
      <c r="X27" s="59">
        <v>802</v>
      </c>
      <c r="Y27" s="37">
        <f t="shared" si="16"/>
        <v>2549</v>
      </c>
      <c r="Z27" s="28">
        <f t="shared" si="17"/>
        <v>1</v>
      </c>
    </row>
    <row r="28" spans="1:26">
      <c r="A28" s="34">
        <v>2005</v>
      </c>
      <c r="B28" s="63">
        <f t="shared" si="9"/>
        <v>1.9864750633981403E-2</v>
      </c>
      <c r="C28" s="63">
        <f t="shared" si="10"/>
        <v>0.26289095519864752</v>
      </c>
      <c r="D28" s="135">
        <f t="shared" si="11"/>
        <v>0.45097210481825867</v>
      </c>
      <c r="E28" s="135">
        <f t="shared" si="12"/>
        <v>0.18131868131868131</v>
      </c>
      <c r="F28" s="63">
        <f t="shared" si="13"/>
        <v>8.4108199492814881E-2</v>
      </c>
      <c r="G28" s="63">
        <f t="shared" si="14"/>
        <v>8.4530853761622987E-4</v>
      </c>
      <c r="H28" s="63">
        <f t="shared" si="15"/>
        <v>0</v>
      </c>
      <c r="I28" s="59">
        <v>1</v>
      </c>
      <c r="J28" s="59">
        <v>46</v>
      </c>
      <c r="K28" s="59"/>
      <c r="L28" s="59">
        <v>394</v>
      </c>
      <c r="M28" s="59">
        <v>228</v>
      </c>
      <c r="N28" s="59">
        <v>1067</v>
      </c>
      <c r="O28" s="59">
        <v>429</v>
      </c>
      <c r="P28" s="59"/>
      <c r="Q28" s="59">
        <v>4</v>
      </c>
      <c r="R28" s="59">
        <v>195</v>
      </c>
      <c r="S28" s="59"/>
      <c r="T28" s="59">
        <v>2</v>
      </c>
      <c r="U28" s="59"/>
      <c r="V28" s="59"/>
      <c r="W28" s="59"/>
      <c r="X28" s="59">
        <v>595</v>
      </c>
      <c r="Y28" s="37">
        <f t="shared" si="16"/>
        <v>2366</v>
      </c>
      <c r="Z28" s="28">
        <f t="shared" si="17"/>
        <v>1</v>
      </c>
    </row>
    <row r="29" spans="1:26">
      <c r="A29" s="34">
        <v>2006</v>
      </c>
      <c r="B29" s="63">
        <f t="shared" si="9"/>
        <v>0</v>
      </c>
      <c r="C29" s="63">
        <f t="shared" si="10"/>
        <v>0.55888223552894212</v>
      </c>
      <c r="D29" s="135">
        <f t="shared" si="11"/>
        <v>0.19161676646706588</v>
      </c>
      <c r="E29" s="135">
        <f t="shared" si="12"/>
        <v>0.15369261477045909</v>
      </c>
      <c r="F29" s="63">
        <f t="shared" si="13"/>
        <v>9.580838323353294E-2</v>
      </c>
      <c r="G29" s="63">
        <f t="shared" si="14"/>
        <v>0</v>
      </c>
      <c r="H29" s="63">
        <f t="shared" si="15"/>
        <v>0</v>
      </c>
      <c r="I29" s="59"/>
      <c r="J29" s="59"/>
      <c r="K29" s="59"/>
      <c r="L29" s="59">
        <v>280</v>
      </c>
      <c r="M29" s="59"/>
      <c r="N29" s="59">
        <v>96</v>
      </c>
      <c r="O29" s="59">
        <v>77</v>
      </c>
      <c r="P29" s="59"/>
      <c r="Q29" s="59"/>
      <c r="R29" s="59">
        <v>48</v>
      </c>
      <c r="S29" s="59"/>
      <c r="T29" s="59"/>
      <c r="U29" s="59"/>
      <c r="V29" s="59"/>
      <c r="W29" s="59"/>
      <c r="X29" s="59">
        <v>126</v>
      </c>
      <c r="Y29" s="37">
        <f t="shared" si="16"/>
        <v>501</v>
      </c>
      <c r="Z29" s="28">
        <f t="shared" si="17"/>
        <v>1.0000000000000002</v>
      </c>
    </row>
    <row r="30" spans="1:26">
      <c r="A30" s="34">
        <v>2007</v>
      </c>
      <c r="B30" s="63">
        <f t="shared" si="9"/>
        <v>0</v>
      </c>
      <c r="C30" s="63">
        <f t="shared" si="10"/>
        <v>5.6399132321041212E-2</v>
      </c>
      <c r="D30" s="135">
        <f t="shared" si="11"/>
        <v>0.77223427331887207</v>
      </c>
      <c r="E30" s="135">
        <f t="shared" si="12"/>
        <v>3.6876355748373099E-2</v>
      </c>
      <c r="F30" s="63">
        <f t="shared" si="13"/>
        <v>0.13232104121475055</v>
      </c>
      <c r="G30" s="63">
        <f t="shared" si="14"/>
        <v>2.1691973969631237E-3</v>
      </c>
      <c r="H30" s="63">
        <f t="shared" si="15"/>
        <v>0</v>
      </c>
      <c r="I30" s="59"/>
      <c r="J30" s="59"/>
      <c r="K30" s="59"/>
      <c r="L30" s="59">
        <v>26</v>
      </c>
      <c r="M30" s="59"/>
      <c r="N30" s="59">
        <v>356</v>
      </c>
      <c r="O30" s="59">
        <v>17</v>
      </c>
      <c r="P30" s="59"/>
      <c r="Q30" s="59">
        <v>2</v>
      </c>
      <c r="R30" s="59">
        <v>59</v>
      </c>
      <c r="S30" s="59"/>
      <c r="T30" s="59">
        <v>1</v>
      </c>
      <c r="U30" s="59"/>
      <c r="V30" s="59"/>
      <c r="W30" s="59"/>
      <c r="X30" s="59">
        <v>174</v>
      </c>
      <c r="Y30" s="37">
        <f t="shared" si="16"/>
        <v>461</v>
      </c>
      <c r="Z30" s="28">
        <f t="shared" si="17"/>
        <v>1</v>
      </c>
    </row>
    <row r="31" spans="1:26">
      <c r="A31" s="34">
        <v>2008</v>
      </c>
      <c r="B31" s="63">
        <f t="shared" si="9"/>
        <v>2.2172949002217295E-3</v>
      </c>
      <c r="C31" s="63">
        <f t="shared" si="10"/>
        <v>0.1574279379157428</v>
      </c>
      <c r="D31" s="135">
        <f t="shared" si="11"/>
        <v>0.58758314855875826</v>
      </c>
      <c r="E31" s="135">
        <f t="shared" si="12"/>
        <v>3.7694013303769404E-2</v>
      </c>
      <c r="F31" s="63">
        <f t="shared" si="13"/>
        <v>0.21064301552106429</v>
      </c>
      <c r="G31" s="63">
        <f t="shared" si="14"/>
        <v>4.434589800443459E-3</v>
      </c>
      <c r="H31" s="63">
        <f t="shared" si="15"/>
        <v>0</v>
      </c>
      <c r="I31" s="59"/>
      <c r="J31" s="59">
        <v>1</v>
      </c>
      <c r="K31" s="59"/>
      <c r="L31" s="59">
        <v>56</v>
      </c>
      <c r="M31" s="59">
        <v>15</v>
      </c>
      <c r="N31" s="59">
        <v>265</v>
      </c>
      <c r="O31" s="59">
        <v>17</v>
      </c>
      <c r="P31" s="59"/>
      <c r="Q31" s="59">
        <v>5</v>
      </c>
      <c r="R31" s="59">
        <v>90</v>
      </c>
      <c r="S31" s="59"/>
      <c r="T31" s="59">
        <v>2</v>
      </c>
      <c r="U31" s="59"/>
      <c r="V31" s="59"/>
      <c r="W31" s="59"/>
      <c r="X31" s="59">
        <v>180</v>
      </c>
      <c r="Y31" s="37">
        <f t="shared" si="16"/>
        <v>451</v>
      </c>
      <c r="Z31" s="28">
        <f t="shared" si="17"/>
        <v>1</v>
      </c>
    </row>
    <row r="32" spans="1:26">
      <c r="A32" s="34">
        <v>2009</v>
      </c>
      <c r="B32" s="63">
        <f t="shared" si="9"/>
        <v>4.405286343612335E-2</v>
      </c>
      <c r="C32" s="63">
        <f t="shared" si="10"/>
        <v>0.11453744493392071</v>
      </c>
      <c r="D32" s="135">
        <f t="shared" si="11"/>
        <v>0.41189427312775329</v>
      </c>
      <c r="E32" s="135">
        <f t="shared" si="12"/>
        <v>0.40088105726872247</v>
      </c>
      <c r="F32" s="63">
        <f t="shared" si="13"/>
        <v>2.8634361233480177E-2</v>
      </c>
      <c r="G32" s="63">
        <f t="shared" si="14"/>
        <v>0</v>
      </c>
      <c r="H32" s="63">
        <f t="shared" si="15"/>
        <v>0</v>
      </c>
      <c r="I32" s="59"/>
      <c r="J32" s="59">
        <v>20</v>
      </c>
      <c r="K32" s="59"/>
      <c r="L32" s="59">
        <v>40</v>
      </c>
      <c r="M32" s="59">
        <v>12</v>
      </c>
      <c r="N32" s="59">
        <v>187</v>
      </c>
      <c r="O32" s="59">
        <v>182</v>
      </c>
      <c r="P32" s="59"/>
      <c r="Q32" s="59"/>
      <c r="R32" s="59">
        <v>11</v>
      </c>
      <c r="S32" s="59">
        <v>2</v>
      </c>
      <c r="T32" s="59"/>
      <c r="U32" s="59"/>
      <c r="V32" s="59"/>
      <c r="W32" s="59"/>
      <c r="X32" s="59">
        <v>175</v>
      </c>
      <c r="Y32" s="37">
        <f t="shared" si="16"/>
        <v>454</v>
      </c>
      <c r="Z32" s="28">
        <f t="shared" si="17"/>
        <v>1</v>
      </c>
    </row>
    <row r="33" spans="1:26">
      <c r="A33" s="34">
        <v>2010</v>
      </c>
      <c r="B33" s="63">
        <f t="shared" si="9"/>
        <v>0</v>
      </c>
      <c r="C33" s="63">
        <f t="shared" si="10"/>
        <v>0.58762886597938147</v>
      </c>
      <c r="D33" s="135">
        <f t="shared" si="11"/>
        <v>9.6907216494845363E-2</v>
      </c>
      <c r="E33" s="135">
        <f t="shared" si="12"/>
        <v>0.1422680412371134</v>
      </c>
      <c r="F33" s="63">
        <f t="shared" si="13"/>
        <v>0.17319587628865979</v>
      </c>
      <c r="G33" s="63">
        <f t="shared" si="14"/>
        <v>0</v>
      </c>
      <c r="H33" s="63">
        <f t="shared" si="15"/>
        <v>0</v>
      </c>
      <c r="I33" s="59"/>
      <c r="J33" s="59"/>
      <c r="K33" s="59"/>
      <c r="L33" s="59">
        <v>281</v>
      </c>
      <c r="M33" s="59">
        <v>4</v>
      </c>
      <c r="N33" s="59">
        <v>47</v>
      </c>
      <c r="O33" s="59">
        <v>69</v>
      </c>
      <c r="P33" s="59"/>
      <c r="Q33" s="59">
        <v>1</v>
      </c>
      <c r="R33" s="59">
        <v>83</v>
      </c>
      <c r="S33" s="59"/>
      <c r="T33" s="59"/>
      <c r="U33" s="59"/>
      <c r="V33" s="59"/>
      <c r="W33" s="59"/>
      <c r="X33" s="59">
        <v>142</v>
      </c>
      <c r="Y33" s="37">
        <f t="shared" si="16"/>
        <v>485</v>
      </c>
      <c r="Z33" s="28">
        <f t="shared" si="17"/>
        <v>1</v>
      </c>
    </row>
    <row r="34" spans="1:26">
      <c r="A34" s="34">
        <v>2011</v>
      </c>
      <c r="B34" s="63">
        <f t="shared" si="9"/>
        <v>0.10728744939271255</v>
      </c>
      <c r="C34" s="63">
        <f t="shared" si="10"/>
        <v>0.1417004048582996</v>
      </c>
      <c r="D34" s="135">
        <f t="shared" si="11"/>
        <v>0.53036437246963564</v>
      </c>
      <c r="E34" s="135">
        <f t="shared" si="12"/>
        <v>7.8947368421052627E-2</v>
      </c>
      <c r="F34" s="63">
        <f t="shared" ref="F34:F35" si="18">SUM(Q34:S34)/Y34</f>
        <v>0.1417004048582996</v>
      </c>
      <c r="G34" s="63">
        <f t="shared" ref="G34:G35" si="19">SUM(T34:V34)/Y34</f>
        <v>0</v>
      </c>
      <c r="H34" s="63">
        <f t="shared" ref="H34:H35" si="20">W34/Y34</f>
        <v>0</v>
      </c>
      <c r="I34" s="59"/>
      <c r="J34" s="59">
        <v>53</v>
      </c>
      <c r="K34" s="59"/>
      <c r="L34" s="59">
        <v>24</v>
      </c>
      <c r="M34" s="59">
        <v>46</v>
      </c>
      <c r="N34" s="59">
        <v>262</v>
      </c>
      <c r="O34" s="59">
        <v>39</v>
      </c>
      <c r="P34" s="59"/>
      <c r="Q34" s="59"/>
      <c r="R34" s="59">
        <v>70</v>
      </c>
      <c r="S34" s="59"/>
      <c r="T34" s="59"/>
      <c r="U34" s="59"/>
      <c r="V34" s="59"/>
      <c r="W34" s="59"/>
      <c r="X34" s="59">
        <v>195</v>
      </c>
      <c r="Y34" s="37">
        <f t="shared" si="16"/>
        <v>494</v>
      </c>
      <c r="Z34" s="28">
        <f t="shared" si="17"/>
        <v>1</v>
      </c>
    </row>
    <row r="35" spans="1:26">
      <c r="A35" s="34">
        <v>2012</v>
      </c>
      <c r="B35" s="63">
        <f t="shared" si="9"/>
        <v>8.6505190311418678E-2</v>
      </c>
      <c r="C35" s="63">
        <f t="shared" si="10"/>
        <v>0.51384083044982698</v>
      </c>
      <c r="D35" s="135">
        <f t="shared" si="11"/>
        <v>3.6332179930795849E-2</v>
      </c>
      <c r="E35" s="135">
        <f t="shared" si="12"/>
        <v>0.3217993079584775</v>
      </c>
      <c r="F35" s="63">
        <f t="shared" si="18"/>
        <v>4.1522491349480967E-2</v>
      </c>
      <c r="G35" s="63">
        <f t="shared" si="19"/>
        <v>0</v>
      </c>
      <c r="H35" s="63">
        <f t="shared" si="20"/>
        <v>0</v>
      </c>
      <c r="I35" s="59"/>
      <c r="J35" s="59">
        <v>50</v>
      </c>
      <c r="K35" s="59"/>
      <c r="L35" s="59">
        <v>259</v>
      </c>
      <c r="M35" s="59">
        <v>38</v>
      </c>
      <c r="N35" s="59">
        <v>21</v>
      </c>
      <c r="O35" s="59">
        <v>186</v>
      </c>
      <c r="P35" s="59"/>
      <c r="Q35" s="59"/>
      <c r="R35" s="59">
        <v>16</v>
      </c>
      <c r="S35" s="59">
        <v>8</v>
      </c>
      <c r="T35" s="59"/>
      <c r="U35" s="59"/>
      <c r="V35" s="59"/>
      <c r="W35" s="59"/>
      <c r="X35" s="59">
        <v>117</v>
      </c>
      <c r="Y35" s="37">
        <f t="shared" si="16"/>
        <v>578</v>
      </c>
      <c r="Z35" s="28">
        <f t="shared" si="17"/>
        <v>1</v>
      </c>
    </row>
    <row r="36" spans="1:26">
      <c r="A36" s="34">
        <v>2013</v>
      </c>
      <c r="B36" s="63">
        <f t="shared" ref="B36:B38" si="21">SUM(I36:J36)/Y36</f>
        <v>3.3043478260869563E-2</v>
      </c>
      <c r="C36" s="63">
        <f t="shared" ref="C36:C38" si="22">SUM(K36:M36)/Y36</f>
        <v>0.17565217391304347</v>
      </c>
      <c r="D36" s="135">
        <f t="shared" si="11"/>
        <v>0.2</v>
      </c>
      <c r="E36" s="135">
        <f t="shared" si="12"/>
        <v>0.42782608695652175</v>
      </c>
      <c r="F36" s="63">
        <f t="shared" ref="F36:F38" si="23">SUM(Q36:S36)/Y36</f>
        <v>0.16347826086956521</v>
      </c>
      <c r="G36" s="63">
        <f t="shared" ref="G36:G38" si="24">SUM(T36:V36)/Y36</f>
        <v>0</v>
      </c>
      <c r="H36" s="63">
        <f t="shared" ref="H36:H38" si="25">W36/Y36</f>
        <v>0</v>
      </c>
      <c r="I36" s="59"/>
      <c r="J36" s="59">
        <v>19</v>
      </c>
      <c r="K36" s="59"/>
      <c r="L36" s="59">
        <v>96</v>
      </c>
      <c r="M36" s="59">
        <v>5</v>
      </c>
      <c r="N36" s="59">
        <v>115</v>
      </c>
      <c r="O36" s="59">
        <v>246</v>
      </c>
      <c r="P36" s="59"/>
      <c r="Q36" s="59"/>
      <c r="R36" s="59">
        <v>94</v>
      </c>
      <c r="S36" s="59"/>
      <c r="T36" s="59"/>
      <c r="U36" s="59"/>
      <c r="V36" s="59"/>
      <c r="W36" s="59"/>
      <c r="X36" s="59">
        <v>126</v>
      </c>
      <c r="Y36" s="37">
        <f t="shared" si="16"/>
        <v>575</v>
      </c>
      <c r="Z36" s="28">
        <f t="shared" si="17"/>
        <v>0.99999999999999989</v>
      </c>
    </row>
    <row r="37" spans="1:26">
      <c r="A37" s="34">
        <v>2014</v>
      </c>
      <c r="B37" s="63">
        <f t="shared" si="21"/>
        <v>0.14232209737827714</v>
      </c>
      <c r="C37" s="63">
        <f t="shared" si="22"/>
        <v>0.25468164794007492</v>
      </c>
      <c r="D37" s="135">
        <f t="shared" si="11"/>
        <v>0.38576779026217228</v>
      </c>
      <c r="E37" s="135">
        <f t="shared" si="12"/>
        <v>1.8726591760299626E-2</v>
      </c>
      <c r="F37" s="63">
        <f t="shared" si="23"/>
        <v>0.19475655430711611</v>
      </c>
      <c r="G37" s="63">
        <f t="shared" si="24"/>
        <v>3.7453183520599251E-3</v>
      </c>
      <c r="H37" s="63">
        <f t="shared" si="25"/>
        <v>0</v>
      </c>
      <c r="I37" s="59"/>
      <c r="J37" s="59">
        <v>76</v>
      </c>
      <c r="K37" s="59"/>
      <c r="L37" s="59">
        <v>103</v>
      </c>
      <c r="M37" s="59">
        <v>33</v>
      </c>
      <c r="N37" s="59">
        <v>206</v>
      </c>
      <c r="O37" s="59">
        <v>10</v>
      </c>
      <c r="P37" s="59"/>
      <c r="Q37" s="59">
        <v>2</v>
      </c>
      <c r="R37" s="59">
        <v>102</v>
      </c>
      <c r="S37" s="59"/>
      <c r="T37" s="59"/>
      <c r="U37" s="59">
        <v>2</v>
      </c>
      <c r="V37" s="59"/>
      <c r="W37" s="59"/>
      <c r="X37" s="59">
        <v>151</v>
      </c>
      <c r="Y37" s="37">
        <f t="shared" si="16"/>
        <v>534</v>
      </c>
      <c r="Z37" s="28">
        <f t="shared" si="17"/>
        <v>1</v>
      </c>
    </row>
    <row r="38" spans="1:26">
      <c r="A38" s="34">
        <v>2015</v>
      </c>
      <c r="B38" s="63">
        <f t="shared" si="21"/>
        <v>0.10997442455242967</v>
      </c>
      <c r="C38" s="63">
        <f t="shared" si="22"/>
        <v>0.40920716112531969</v>
      </c>
      <c r="D38" s="135">
        <f t="shared" si="11"/>
        <v>0.24552429667519182</v>
      </c>
      <c r="E38" s="135">
        <f t="shared" si="12"/>
        <v>0.22506393861892582</v>
      </c>
      <c r="F38" s="63">
        <f t="shared" si="23"/>
        <v>1.0230179028132993E-2</v>
      </c>
      <c r="G38" s="63">
        <f t="shared" si="24"/>
        <v>0</v>
      </c>
      <c r="H38" s="63">
        <f t="shared" si="25"/>
        <v>0</v>
      </c>
      <c r="I38" s="59"/>
      <c r="J38" s="59">
        <v>43</v>
      </c>
      <c r="K38" s="59"/>
      <c r="L38" s="59">
        <v>78</v>
      </c>
      <c r="M38" s="59">
        <v>82</v>
      </c>
      <c r="N38" s="59">
        <v>96</v>
      </c>
      <c r="O38" s="59">
        <v>88</v>
      </c>
      <c r="P38" s="59"/>
      <c r="Q38" s="59"/>
      <c r="R38" s="59">
        <v>2</v>
      </c>
      <c r="S38" s="59">
        <v>2</v>
      </c>
      <c r="T38" s="59"/>
      <c r="U38" s="59"/>
      <c r="V38" s="59"/>
      <c r="W38" s="59"/>
      <c r="X38" s="59">
        <v>224</v>
      </c>
      <c r="Y38" s="37">
        <f t="shared" si="16"/>
        <v>391</v>
      </c>
      <c r="Z38" s="28">
        <f t="shared" si="17"/>
        <v>0.99999999999999989</v>
      </c>
    </row>
    <row r="39" spans="1:26">
      <c r="A39" s="34">
        <v>2016</v>
      </c>
      <c r="B39" s="63">
        <f t="shared" ref="B39" si="26">SUM(I39:J39)/Y39</f>
        <v>2.7397260273972601E-2</v>
      </c>
      <c r="C39" s="63">
        <f t="shared" ref="C39" si="27">SUM(K39:M39)/Y39</f>
        <v>0.58317025440313108</v>
      </c>
      <c r="D39" s="135">
        <f t="shared" si="11"/>
        <v>9.393346379647749E-2</v>
      </c>
      <c r="E39" s="135">
        <f t="shared" si="12"/>
        <v>0.26810176125244617</v>
      </c>
      <c r="F39" s="63">
        <f t="shared" ref="F39" si="28">SUM(Q39:S39)/Y39</f>
        <v>2.7397260273972601E-2</v>
      </c>
      <c r="G39" s="63">
        <f t="shared" ref="G39" si="29">SUM(T39:V39)/Y39</f>
        <v>0</v>
      </c>
      <c r="H39" s="63">
        <f t="shared" ref="H39" si="30">W39/Y39</f>
        <v>0</v>
      </c>
      <c r="I39" s="59"/>
      <c r="J39" s="59">
        <v>14</v>
      </c>
      <c r="K39" s="59"/>
      <c r="L39" s="59">
        <v>285</v>
      </c>
      <c r="M39" s="59">
        <v>13</v>
      </c>
      <c r="N39" s="59">
        <v>48</v>
      </c>
      <c r="O39" s="59">
        <v>137</v>
      </c>
      <c r="P39" s="59"/>
      <c r="Q39" s="59"/>
      <c r="R39" s="59">
        <v>14</v>
      </c>
      <c r="S39" s="59"/>
      <c r="T39" s="59"/>
      <c r="U39" s="59"/>
      <c r="V39" s="59"/>
      <c r="W39" s="59"/>
      <c r="X39" s="59">
        <v>188</v>
      </c>
      <c r="Y39" s="37">
        <f t="shared" si="16"/>
        <v>511</v>
      </c>
      <c r="Z39" s="28">
        <f t="shared" si="17"/>
        <v>0.99999999999999989</v>
      </c>
    </row>
    <row r="40" spans="1:26">
      <c r="A40" s="33"/>
      <c r="L40" s="28"/>
      <c r="M40" s="28"/>
      <c r="N40" s="28"/>
      <c r="O40" s="28"/>
      <c r="P40" s="28"/>
      <c r="Q40" s="28"/>
      <c r="R40" s="28"/>
    </row>
    <row r="41" spans="1:26">
      <c r="A41" s="36" t="s">
        <v>69</v>
      </c>
      <c r="B41" s="35">
        <f>AVERAGE(B5:B24)</f>
        <v>1.832618962753782E-2</v>
      </c>
      <c r="C41" s="35">
        <f t="shared" ref="C41:H41" si="31">AVERAGE(C5:C24)</f>
        <v>0.17367927510758863</v>
      </c>
      <c r="D41" s="35">
        <f t="shared" si="31"/>
        <v>0.32678109399728444</v>
      </c>
      <c r="E41" s="35">
        <f t="shared" si="31"/>
        <v>0.22114645744640751</v>
      </c>
      <c r="F41" s="35">
        <f t="shared" si="31"/>
        <v>0.25037625272793879</v>
      </c>
      <c r="G41" s="35">
        <f t="shared" si="31"/>
        <v>8.8995324068518056E-3</v>
      </c>
      <c r="H41" s="35">
        <f t="shared" si="31"/>
        <v>2.3391812865497078E-5</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I20"/>
  <sheetViews>
    <sheetView workbookViewId="0">
      <selection activeCell="F19" sqref="F19"/>
    </sheetView>
  </sheetViews>
  <sheetFormatPr baseColWidth="10" defaultColWidth="8.83203125" defaultRowHeight="12" x14ac:dyDescent="0"/>
  <cols>
    <col min="2" max="5" width="14.6640625" customWidth="1"/>
    <col min="6" max="6" width="20.33203125" customWidth="1"/>
    <col min="7" max="7" width="60.5" bestFit="1" customWidth="1"/>
  </cols>
  <sheetData>
    <row r="1" spans="1:9" ht="15">
      <c r="A1" s="97" t="s">
        <v>107</v>
      </c>
      <c r="B1" s="93"/>
      <c r="C1" s="93"/>
      <c r="D1" s="93"/>
      <c r="E1" s="93"/>
      <c r="F1" s="93"/>
      <c r="G1" s="93"/>
    </row>
    <row r="2" spans="1:9" ht="15">
      <c r="A2" s="98" t="s">
        <v>108</v>
      </c>
      <c r="B2" s="93"/>
      <c r="C2" s="93"/>
      <c r="D2" s="93"/>
      <c r="E2" s="93"/>
      <c r="F2" s="93"/>
      <c r="G2" s="93"/>
    </row>
    <row r="4" spans="1:9" ht="28">
      <c r="A4" s="99" t="s">
        <v>109</v>
      </c>
      <c r="B4" s="100" t="s">
        <v>110</v>
      </c>
      <c r="C4" s="100" t="s">
        <v>111</v>
      </c>
      <c r="D4" s="100" t="s">
        <v>112</v>
      </c>
      <c r="E4" s="100" t="s">
        <v>113</v>
      </c>
      <c r="F4" s="100" t="s">
        <v>114</v>
      </c>
      <c r="G4" s="99" t="s">
        <v>115</v>
      </c>
    </row>
    <row r="5" spans="1:9" ht="14">
      <c r="A5" s="95">
        <v>2003</v>
      </c>
      <c r="B5" s="107" t="s">
        <v>116</v>
      </c>
      <c r="C5" s="107" t="s">
        <v>117</v>
      </c>
      <c r="D5" s="107" t="s">
        <v>118</v>
      </c>
      <c r="E5" s="107" t="s">
        <v>119</v>
      </c>
      <c r="F5" s="96" t="s">
        <v>120</v>
      </c>
      <c r="G5" s="109" t="s">
        <v>172</v>
      </c>
      <c r="I5" s="109"/>
    </row>
    <row r="6" spans="1:9" ht="14">
      <c r="A6" s="95">
        <v>2004</v>
      </c>
      <c r="B6" s="107" t="s">
        <v>121</v>
      </c>
      <c r="C6" s="107" t="s">
        <v>122</v>
      </c>
      <c r="D6" s="107" t="s">
        <v>123</v>
      </c>
      <c r="E6" s="107" t="s">
        <v>124</v>
      </c>
      <c r="F6" s="96" t="s">
        <v>120</v>
      </c>
      <c r="G6" s="108" t="s">
        <v>173</v>
      </c>
      <c r="I6" s="108"/>
    </row>
    <row r="7" spans="1:9" ht="14">
      <c r="A7" s="95">
        <v>2005</v>
      </c>
      <c r="B7" s="107" t="s">
        <v>125</v>
      </c>
      <c r="C7" s="107" t="s">
        <v>126</v>
      </c>
      <c r="D7" s="107" t="s">
        <v>127</v>
      </c>
      <c r="E7" s="107" t="s">
        <v>128</v>
      </c>
      <c r="F7" s="94" t="s">
        <v>106</v>
      </c>
    </row>
    <row r="8" spans="1:9" ht="14">
      <c r="A8" s="95">
        <v>2006</v>
      </c>
      <c r="B8" s="107" t="s">
        <v>129</v>
      </c>
      <c r="C8" s="107" t="s">
        <v>130</v>
      </c>
      <c r="D8" s="107" t="s">
        <v>131</v>
      </c>
      <c r="E8" s="107" t="s">
        <v>132</v>
      </c>
      <c r="F8" s="96" t="s">
        <v>120</v>
      </c>
      <c r="G8" s="108" t="s">
        <v>174</v>
      </c>
      <c r="I8" s="108"/>
    </row>
    <row r="9" spans="1:9" ht="14">
      <c r="A9" s="95">
        <v>2007</v>
      </c>
      <c r="B9" s="107" t="s">
        <v>133</v>
      </c>
      <c r="C9" s="107" t="s">
        <v>134</v>
      </c>
      <c r="D9" s="107" t="s">
        <v>135</v>
      </c>
      <c r="E9" s="107" t="s">
        <v>136</v>
      </c>
      <c r="F9" s="96" t="s">
        <v>120</v>
      </c>
      <c r="G9" s="108" t="s">
        <v>175</v>
      </c>
      <c r="I9" s="108"/>
    </row>
    <row r="10" spans="1:9" ht="14">
      <c r="A10" s="95">
        <v>2008</v>
      </c>
      <c r="B10" s="107" t="s">
        <v>137</v>
      </c>
      <c r="C10" s="107" t="s">
        <v>138</v>
      </c>
      <c r="D10" s="107" t="s">
        <v>139</v>
      </c>
      <c r="E10" s="107" t="s">
        <v>140</v>
      </c>
      <c r="F10" s="94" t="s">
        <v>106</v>
      </c>
    </row>
    <row r="11" spans="1:9" ht="14">
      <c r="A11" s="95">
        <v>2009</v>
      </c>
      <c r="B11" s="107" t="s">
        <v>141</v>
      </c>
      <c r="C11" s="107" t="s">
        <v>142</v>
      </c>
      <c r="D11" s="107" t="s">
        <v>143</v>
      </c>
      <c r="E11" s="107" t="s">
        <v>144</v>
      </c>
      <c r="F11" s="94" t="s">
        <v>106</v>
      </c>
    </row>
    <row r="12" spans="1:9" ht="14">
      <c r="A12" s="95">
        <v>2010</v>
      </c>
      <c r="B12" s="107" t="s">
        <v>145</v>
      </c>
      <c r="C12" s="107" t="s">
        <v>146</v>
      </c>
      <c r="D12" s="107" t="s">
        <v>165</v>
      </c>
      <c r="E12" s="107" t="s">
        <v>147</v>
      </c>
      <c r="F12" s="94" t="s">
        <v>106</v>
      </c>
    </row>
    <row r="13" spans="1:9" ht="14">
      <c r="A13" s="95">
        <v>2011</v>
      </c>
      <c r="B13" s="107" t="s">
        <v>148</v>
      </c>
      <c r="C13" s="107" t="s">
        <v>149</v>
      </c>
      <c r="D13" s="107" t="s">
        <v>150</v>
      </c>
      <c r="E13" s="107" t="s">
        <v>151</v>
      </c>
      <c r="F13" s="94" t="s">
        <v>106</v>
      </c>
    </row>
    <row r="14" spans="1:9" s="106" customFormat="1" ht="14">
      <c r="A14" s="104">
        <v>2012</v>
      </c>
      <c r="B14" s="107" t="s">
        <v>152</v>
      </c>
      <c r="C14" s="107" t="s">
        <v>166</v>
      </c>
      <c r="D14" s="107" t="s">
        <v>167</v>
      </c>
      <c r="E14" s="107" t="s">
        <v>168</v>
      </c>
      <c r="F14" s="105" t="s">
        <v>106</v>
      </c>
    </row>
    <row r="15" spans="1:9" ht="14">
      <c r="A15" s="95">
        <v>2013</v>
      </c>
      <c r="B15" s="107" t="s">
        <v>164</v>
      </c>
      <c r="C15" s="107" t="s">
        <v>169</v>
      </c>
      <c r="D15" s="107" t="s">
        <v>170</v>
      </c>
      <c r="E15" s="126" t="s">
        <v>171</v>
      </c>
      <c r="F15" s="96" t="s">
        <v>120</v>
      </c>
      <c r="G15" s="108" t="s">
        <v>176</v>
      </c>
      <c r="I15" s="108"/>
    </row>
    <row r="16" spans="1:9" ht="14">
      <c r="A16" s="95">
        <v>2014</v>
      </c>
      <c r="B16" s="107"/>
      <c r="C16" s="107"/>
      <c r="D16" s="107"/>
      <c r="E16" s="107"/>
      <c r="F16" s="105" t="s">
        <v>106</v>
      </c>
      <c r="G16" s="108"/>
      <c r="I16" s="108"/>
    </row>
    <row r="17" spans="1:9" ht="14">
      <c r="A17" s="104">
        <v>2015</v>
      </c>
      <c r="B17" s="107"/>
      <c r="C17" s="107"/>
      <c r="D17" s="107"/>
      <c r="E17" s="107"/>
      <c r="F17" s="105" t="s">
        <v>106</v>
      </c>
      <c r="G17" s="108"/>
      <c r="I17" s="108"/>
    </row>
    <row r="18" spans="1:9" ht="14">
      <c r="A18" s="95">
        <v>2016</v>
      </c>
      <c r="B18" s="107"/>
      <c r="C18" s="107"/>
      <c r="D18" s="107"/>
      <c r="E18" s="107"/>
      <c r="F18" s="96"/>
      <c r="G18" s="108"/>
      <c r="I18" s="108"/>
    </row>
    <row r="19" spans="1:9" ht="14">
      <c r="A19" s="95" t="s">
        <v>153</v>
      </c>
      <c r="B19" s="107" t="s">
        <v>154</v>
      </c>
      <c r="C19" s="107" t="s">
        <v>155</v>
      </c>
      <c r="D19" s="107" t="s">
        <v>156</v>
      </c>
      <c r="E19" s="107" t="s">
        <v>157</v>
      </c>
      <c r="F19" s="93"/>
      <c r="G19" s="93"/>
    </row>
    <row r="20" spans="1:9" ht="14">
      <c r="A20" s="95" t="s">
        <v>158</v>
      </c>
      <c r="B20" s="107" t="s">
        <v>159</v>
      </c>
      <c r="C20" s="107" t="s">
        <v>160</v>
      </c>
      <c r="D20" s="107" t="s">
        <v>161</v>
      </c>
      <c r="E20" s="107" t="s">
        <v>162</v>
      </c>
      <c r="F20" s="93"/>
      <c r="G20" s="93"/>
    </row>
  </sheetData>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21"/>
  <sheetViews>
    <sheetView topLeftCell="A7" workbookViewId="0">
      <selection activeCell="A7" sqref="A7:XFD7"/>
    </sheetView>
  </sheetViews>
  <sheetFormatPr baseColWidth="10" defaultColWidth="8.83203125" defaultRowHeight="12" x14ac:dyDescent="0"/>
  <sheetData>
    <row r="4" spans="1:3" ht="14">
      <c r="A4" s="15"/>
      <c r="B4" s="116"/>
      <c r="C4" s="117"/>
    </row>
    <row r="5" spans="1:3" ht="14">
      <c r="A5" s="13"/>
      <c r="B5" s="118" t="s">
        <v>180</v>
      </c>
      <c r="C5" s="106"/>
    </row>
    <row r="6" spans="1:3" ht="14">
      <c r="A6" s="115" t="s">
        <v>0</v>
      </c>
      <c r="B6" s="119" t="s">
        <v>181</v>
      </c>
      <c r="C6" s="115" t="s">
        <v>179</v>
      </c>
    </row>
    <row r="7" spans="1:3" ht="14">
      <c r="A7" s="5">
        <v>1901</v>
      </c>
      <c r="B7" s="118"/>
      <c r="C7" s="13"/>
    </row>
    <row r="8" spans="1:3" ht="14">
      <c r="A8" s="5">
        <v>1902</v>
      </c>
      <c r="B8" s="118"/>
      <c r="C8" s="13"/>
    </row>
    <row r="9" spans="1:3" ht="14">
      <c r="A9" s="5">
        <v>1903</v>
      </c>
      <c r="B9" s="118"/>
      <c r="C9" s="13"/>
    </row>
    <row r="10" spans="1:3" ht="14">
      <c r="A10" s="5">
        <v>1904</v>
      </c>
      <c r="B10" s="114"/>
      <c r="C10" s="4">
        <v>27000</v>
      </c>
    </row>
    <row r="11" spans="1:3" ht="14">
      <c r="A11" s="5">
        <v>1905</v>
      </c>
      <c r="B11" s="114"/>
    </row>
    <row r="12" spans="1:3" ht="14">
      <c r="A12" s="5">
        <v>1906</v>
      </c>
      <c r="B12" s="114"/>
    </row>
    <row r="13" spans="1:3" ht="14">
      <c r="A13" s="5">
        <v>1907</v>
      </c>
      <c r="B13" s="114"/>
    </row>
    <row r="14" spans="1:3" ht="14">
      <c r="A14" s="5">
        <v>1908</v>
      </c>
      <c r="B14" s="114"/>
    </row>
    <row r="15" spans="1:3" ht="14">
      <c r="A15" s="5">
        <v>1909</v>
      </c>
      <c r="B15" s="114"/>
    </row>
    <row r="16" spans="1:3" ht="14">
      <c r="A16" s="5">
        <v>1910</v>
      </c>
      <c r="B16" s="114"/>
    </row>
    <row r="17" spans="1:3" ht="14">
      <c r="A17" s="5">
        <v>1911</v>
      </c>
      <c r="B17" s="114"/>
      <c r="C17" s="4">
        <v>11375</v>
      </c>
    </row>
    <row r="18" spans="1:3" ht="14">
      <c r="A18" s="5">
        <v>1912</v>
      </c>
      <c r="B18" s="114"/>
      <c r="C18" s="4">
        <v>9965</v>
      </c>
    </row>
    <row r="19" spans="1:3" ht="14">
      <c r="A19" s="5">
        <v>1913</v>
      </c>
      <c r="B19" s="114"/>
      <c r="C19" s="4">
        <v>13390</v>
      </c>
    </row>
    <row r="20" spans="1:3" ht="14">
      <c r="A20" s="5">
        <v>1914</v>
      </c>
      <c r="B20" s="114"/>
      <c r="C20" s="4">
        <v>31000</v>
      </c>
    </row>
    <row r="21" spans="1:3" ht="14">
      <c r="A21" s="5">
        <v>1915</v>
      </c>
      <c r="B21" s="114"/>
      <c r="C21" s="4">
        <v>28628</v>
      </c>
    </row>
    <row r="22" spans="1:3" ht="14">
      <c r="A22" s="5">
        <v>1916</v>
      </c>
      <c r="B22" s="114"/>
      <c r="C22" s="4">
        <v>8151</v>
      </c>
    </row>
    <row r="23" spans="1:3" ht="14">
      <c r="A23" s="5">
        <v>1917</v>
      </c>
      <c r="B23" s="114"/>
      <c r="C23" s="4">
        <v>1532</v>
      </c>
    </row>
    <row r="24" spans="1:3" ht="14">
      <c r="A24" s="5">
        <v>1918</v>
      </c>
      <c r="B24" s="114"/>
      <c r="C24" s="4">
        <v>20253</v>
      </c>
    </row>
    <row r="25" spans="1:3" ht="14">
      <c r="A25" s="5">
        <v>1919</v>
      </c>
      <c r="B25" s="114"/>
      <c r="C25" s="4">
        <v>12780</v>
      </c>
    </row>
    <row r="26" spans="1:3" ht="14">
      <c r="A26" s="5">
        <v>1920</v>
      </c>
      <c r="B26" s="114"/>
      <c r="C26" s="4">
        <v>17658</v>
      </c>
    </row>
    <row r="27" spans="1:3" ht="14">
      <c r="A27" s="5">
        <v>1921</v>
      </c>
      <c r="B27" s="114"/>
      <c r="C27" s="4">
        <v>6000</v>
      </c>
    </row>
    <row r="28" spans="1:3" ht="14">
      <c r="A28" s="5">
        <v>1922</v>
      </c>
      <c r="B28" s="114"/>
      <c r="C28" s="4">
        <v>1148</v>
      </c>
    </row>
    <row r="29" spans="1:3" ht="14">
      <c r="A29" s="5">
        <v>1923</v>
      </c>
      <c r="B29" s="114"/>
      <c r="C29" s="4">
        <v>12141</v>
      </c>
    </row>
    <row r="30" spans="1:3" ht="14">
      <c r="A30" s="5">
        <v>1924</v>
      </c>
      <c r="B30" s="114"/>
      <c r="C30" s="4">
        <v>3434</v>
      </c>
    </row>
    <row r="31" spans="1:3" ht="14">
      <c r="A31" s="5">
        <v>1925</v>
      </c>
      <c r="B31" s="114"/>
      <c r="C31" s="4">
        <v>2358</v>
      </c>
    </row>
    <row r="32" spans="1:3" ht="14">
      <c r="A32" s="5">
        <v>1926</v>
      </c>
      <c r="B32" s="114"/>
    </row>
    <row r="33" spans="1:2" ht="14">
      <c r="A33" s="5">
        <v>1927</v>
      </c>
      <c r="B33" s="114"/>
    </row>
    <row r="34" spans="1:2" ht="14">
      <c r="A34" s="5">
        <v>1928</v>
      </c>
      <c r="B34" s="114"/>
    </row>
    <row r="35" spans="1:2" ht="14">
      <c r="A35" s="5">
        <v>1929</v>
      </c>
      <c r="B35" s="114"/>
    </row>
    <row r="36" spans="1:2" ht="14">
      <c r="A36" s="5">
        <v>1930</v>
      </c>
      <c r="B36" s="114"/>
    </row>
    <row r="37" spans="1:2" ht="14">
      <c r="A37" s="5">
        <v>1931</v>
      </c>
      <c r="B37" s="114"/>
    </row>
    <row r="38" spans="1:2" ht="14">
      <c r="A38" s="5">
        <v>1932</v>
      </c>
      <c r="B38" s="114"/>
    </row>
    <row r="39" spans="1:2" ht="14">
      <c r="A39" s="5">
        <v>1933</v>
      </c>
      <c r="B39" s="114"/>
    </row>
    <row r="40" spans="1:2" ht="14">
      <c r="A40" s="5">
        <v>1934</v>
      </c>
      <c r="B40" s="114"/>
    </row>
    <row r="41" spans="1:2" ht="14">
      <c r="A41" s="5">
        <v>1935</v>
      </c>
      <c r="B41" s="114"/>
    </row>
    <row r="42" spans="1:2" ht="14">
      <c r="A42" s="5">
        <v>1936</v>
      </c>
      <c r="B42" s="114"/>
    </row>
    <row r="43" spans="1:2" ht="14">
      <c r="A43" s="5">
        <v>1937</v>
      </c>
      <c r="B43" s="114"/>
    </row>
    <row r="44" spans="1:2" ht="14">
      <c r="A44" s="5">
        <v>1938</v>
      </c>
      <c r="B44" s="114"/>
    </row>
    <row r="45" spans="1:2" ht="14">
      <c r="A45" s="5">
        <v>1939</v>
      </c>
      <c r="B45" s="114"/>
    </row>
    <row r="46" spans="1:2" ht="14">
      <c r="A46" s="5">
        <v>1940</v>
      </c>
      <c r="B46" s="114"/>
    </row>
    <row r="47" spans="1:2" ht="14">
      <c r="A47" s="5">
        <v>1941</v>
      </c>
      <c r="B47" s="114"/>
    </row>
    <row r="48" spans="1:2" ht="14">
      <c r="A48" s="5">
        <v>1942</v>
      </c>
      <c r="B48" s="114"/>
    </row>
    <row r="49" spans="1:2" ht="14">
      <c r="A49" s="5">
        <v>1943</v>
      </c>
      <c r="B49" s="114"/>
    </row>
    <row r="50" spans="1:2" ht="14">
      <c r="A50" s="5">
        <v>1944</v>
      </c>
      <c r="B50" s="114"/>
    </row>
    <row r="51" spans="1:2" ht="14">
      <c r="A51" s="5">
        <v>1945</v>
      </c>
      <c r="B51" s="114"/>
    </row>
    <row r="52" spans="1:2" ht="14">
      <c r="A52" s="5">
        <v>1946</v>
      </c>
      <c r="B52" s="114"/>
    </row>
    <row r="53" spans="1:2" ht="14">
      <c r="A53" s="5">
        <v>1947</v>
      </c>
      <c r="B53" s="114"/>
    </row>
    <row r="54" spans="1:2" ht="14">
      <c r="A54" s="5">
        <v>1948</v>
      </c>
      <c r="B54" s="114"/>
    </row>
    <row r="55" spans="1:2" ht="14">
      <c r="A55" s="5">
        <v>1949</v>
      </c>
      <c r="B55" s="114"/>
    </row>
    <row r="56" spans="1:2" ht="14">
      <c r="A56" s="5">
        <v>1950</v>
      </c>
      <c r="B56" s="114"/>
    </row>
    <row r="57" spans="1:2" ht="14">
      <c r="A57" s="5">
        <v>1951</v>
      </c>
      <c r="B57" s="114"/>
    </row>
    <row r="58" spans="1:2" ht="14">
      <c r="A58" s="5">
        <v>1952</v>
      </c>
      <c r="B58" s="114"/>
    </row>
    <row r="59" spans="1:2" ht="14">
      <c r="A59" s="5">
        <v>1953</v>
      </c>
      <c r="B59" s="10">
        <v>22942</v>
      </c>
    </row>
    <row r="60" spans="1:2" ht="14">
      <c r="A60" s="5">
        <v>1954</v>
      </c>
      <c r="B60" s="10">
        <v>19148</v>
      </c>
    </row>
    <row r="61" spans="1:2" ht="14">
      <c r="A61" s="5">
        <v>1955</v>
      </c>
      <c r="B61" s="10">
        <v>22877</v>
      </c>
    </row>
    <row r="62" spans="1:2" ht="14">
      <c r="A62" s="5">
        <v>1956</v>
      </c>
    </row>
    <row r="63" spans="1:2" ht="14">
      <c r="A63" s="5">
        <v>1957</v>
      </c>
    </row>
    <row r="64" spans="1:2" ht="14">
      <c r="A64" s="5">
        <v>1958</v>
      </c>
    </row>
    <row r="65" spans="1:1" ht="14">
      <c r="A65" s="5">
        <v>1959</v>
      </c>
    </row>
    <row r="66" spans="1:1" ht="14">
      <c r="A66" s="5">
        <v>1960</v>
      </c>
    </row>
    <row r="67" spans="1:1" ht="14">
      <c r="A67" s="5">
        <v>1961</v>
      </c>
    </row>
    <row r="68" spans="1:1" ht="14">
      <c r="A68" s="5">
        <v>1962</v>
      </c>
    </row>
    <row r="69" spans="1:1" ht="14">
      <c r="A69" s="5">
        <v>1963</v>
      </c>
    </row>
    <row r="70" spans="1:1" ht="14">
      <c r="A70" s="5">
        <v>1964</v>
      </c>
    </row>
    <row r="71" spans="1:1" ht="14">
      <c r="A71" s="5">
        <v>1965</v>
      </c>
    </row>
    <row r="72" spans="1:1" ht="14">
      <c r="A72" s="5">
        <v>1966</v>
      </c>
    </row>
    <row r="73" spans="1:1" ht="14">
      <c r="A73" s="5">
        <v>1967</v>
      </c>
    </row>
    <row r="74" spans="1:1" ht="14">
      <c r="A74" s="5">
        <v>1968</v>
      </c>
    </row>
    <row r="75" spans="1:1" ht="14">
      <c r="A75" s="5">
        <v>1969</v>
      </c>
    </row>
    <row r="76" spans="1:1" ht="14">
      <c r="A76" s="5">
        <v>1970</v>
      </c>
    </row>
    <row r="77" spans="1:1" ht="14">
      <c r="A77" s="5">
        <v>1971</v>
      </c>
    </row>
    <row r="78" spans="1:1" ht="14">
      <c r="A78" s="5">
        <v>1972</v>
      </c>
    </row>
    <row r="79" spans="1:1" ht="14">
      <c r="A79" s="5">
        <v>1973</v>
      </c>
    </row>
    <row r="80" spans="1:1" ht="14">
      <c r="A80" s="5">
        <v>1974</v>
      </c>
    </row>
    <row r="81" spans="1:3" ht="14">
      <c r="A81" s="5">
        <v>1975</v>
      </c>
    </row>
    <row r="82" spans="1:3" ht="14">
      <c r="A82" s="5">
        <v>1976</v>
      </c>
    </row>
    <row r="83" spans="1:3" ht="14">
      <c r="A83" s="5">
        <v>1977</v>
      </c>
    </row>
    <row r="84" spans="1:3" ht="14">
      <c r="A84" s="5">
        <v>1978</v>
      </c>
    </row>
    <row r="85" spans="1:3" ht="14">
      <c r="A85" s="5">
        <v>1979</v>
      </c>
    </row>
    <row r="86" spans="1:3" ht="14">
      <c r="A86" s="5">
        <v>1980</v>
      </c>
    </row>
    <row r="87" spans="1:3" ht="14">
      <c r="A87" s="5">
        <v>1981</v>
      </c>
      <c r="B87" s="10"/>
    </row>
    <row r="88" spans="1:3" ht="14">
      <c r="A88" s="5">
        <v>1982</v>
      </c>
      <c r="B88" s="10">
        <v>455.8408662342689</v>
      </c>
      <c r="C88">
        <v>99</v>
      </c>
    </row>
    <row r="89" spans="1:3" ht="14">
      <c r="A89" s="5">
        <v>1983</v>
      </c>
      <c r="B89" s="10">
        <v>2539.7855103785087</v>
      </c>
      <c r="C89">
        <v>36</v>
      </c>
    </row>
    <row r="90" spans="1:3" ht="14">
      <c r="A90" s="5">
        <v>1984</v>
      </c>
      <c r="B90" s="10">
        <v>11579.406940083547</v>
      </c>
      <c r="C90">
        <v>217</v>
      </c>
    </row>
    <row r="91" spans="1:3" ht="14">
      <c r="A91" s="5">
        <v>1985</v>
      </c>
      <c r="B91" s="10">
        <v>10991.361364818644</v>
      </c>
      <c r="C91">
        <v>109</v>
      </c>
    </row>
    <row r="92" spans="1:3" ht="14">
      <c r="A92" s="5">
        <v>1986</v>
      </c>
      <c r="B92" s="10">
        <v>9798.1703772778565</v>
      </c>
      <c r="C92">
        <v>109</v>
      </c>
    </row>
    <row r="93" spans="1:3" ht="14">
      <c r="A93" s="5">
        <v>1987</v>
      </c>
      <c r="B93" s="10">
        <v>14251.358370057878</v>
      </c>
      <c r="C93">
        <v>199</v>
      </c>
    </row>
    <row r="94" spans="1:3" ht="14">
      <c r="A94" s="5">
        <v>1988</v>
      </c>
      <c r="B94" s="10">
        <v>3252.0306691668725</v>
      </c>
      <c r="C94">
        <v>425</v>
      </c>
    </row>
    <row r="95" spans="1:3" ht="14">
      <c r="A95" s="5">
        <v>1989</v>
      </c>
      <c r="B95" s="10">
        <v>31570.474732028444</v>
      </c>
      <c r="C95">
        <v>3220</v>
      </c>
    </row>
    <row r="96" spans="1:3" ht="14">
      <c r="A96" s="5">
        <v>1990</v>
      </c>
      <c r="B96" s="10">
        <v>73180.571660014248</v>
      </c>
      <c r="C96">
        <v>6029</v>
      </c>
    </row>
    <row r="97" spans="1:3" ht="14">
      <c r="A97" s="5">
        <v>1991</v>
      </c>
      <c r="B97" s="10">
        <v>45509.809180830263</v>
      </c>
      <c r="C97">
        <v>3337</v>
      </c>
    </row>
    <row r="98" spans="1:3" ht="14">
      <c r="A98" s="5">
        <v>1992</v>
      </c>
      <c r="B98" s="10">
        <v>10325.816536999801</v>
      </c>
      <c r="C98">
        <v>96</v>
      </c>
    </row>
    <row r="99" spans="1:3" ht="14">
      <c r="A99" s="5">
        <v>1993</v>
      </c>
      <c r="B99" s="10">
        <v>25018.47288086998</v>
      </c>
      <c r="C99">
        <v>2456</v>
      </c>
    </row>
    <row r="100" spans="1:3" ht="14">
      <c r="A100" s="5">
        <v>1994</v>
      </c>
      <c r="B100" s="10">
        <v>39710.382989154925</v>
      </c>
      <c r="C100">
        <v>4841</v>
      </c>
    </row>
    <row r="101" spans="1:3" ht="14">
      <c r="A101" s="5">
        <v>1995</v>
      </c>
      <c r="B101" s="10">
        <v>34797.618320235895</v>
      </c>
      <c r="C101">
        <v>3614</v>
      </c>
    </row>
    <row r="102" spans="1:3" ht="14">
      <c r="A102" s="5">
        <v>1996</v>
      </c>
      <c r="B102" s="10">
        <v>19209.334767083867</v>
      </c>
      <c r="C102">
        <v>4415</v>
      </c>
    </row>
    <row r="103" spans="1:3" ht="14">
      <c r="A103" s="5">
        <v>1997</v>
      </c>
      <c r="B103" s="10">
        <v>28898.406062239013</v>
      </c>
      <c r="C103">
        <v>3822</v>
      </c>
    </row>
    <row r="104" spans="1:3" ht="14">
      <c r="A104" s="5">
        <v>1998</v>
      </c>
      <c r="B104" s="87"/>
      <c r="C104">
        <v>6030</v>
      </c>
    </row>
    <row r="105" spans="1:3" ht="14">
      <c r="A105" s="5">
        <v>1999</v>
      </c>
      <c r="B105" s="10">
        <v>57753.571103648006</v>
      </c>
      <c r="C105">
        <v>9953</v>
      </c>
    </row>
    <row r="106" spans="1:3" ht="14">
      <c r="A106" s="5">
        <v>2000</v>
      </c>
      <c r="B106" s="10">
        <v>3032.1982934523489</v>
      </c>
      <c r="C106">
        <v>95</v>
      </c>
    </row>
    <row r="107" spans="1:3" ht="14">
      <c r="A107" s="5">
        <v>2001</v>
      </c>
      <c r="B107" s="10">
        <v>3666.9945177828154</v>
      </c>
      <c r="C107">
        <v>50</v>
      </c>
    </row>
    <row r="108" spans="1:3" ht="14">
      <c r="A108" s="5">
        <v>2002</v>
      </c>
      <c r="B108" s="10">
        <v>23987.72021155481</v>
      </c>
      <c r="C108">
        <v>1416</v>
      </c>
    </row>
    <row r="109" spans="1:3" ht="14">
      <c r="A109" s="5">
        <v>2003</v>
      </c>
      <c r="B109" s="10">
        <v>69892.769729965003</v>
      </c>
      <c r="C109">
        <v>10985</v>
      </c>
    </row>
    <row r="110" spans="1:3" ht="14">
      <c r="A110" s="5">
        <v>2004</v>
      </c>
      <c r="B110" s="10">
        <v>77262.733888424016</v>
      </c>
      <c r="C110">
        <v>11902</v>
      </c>
    </row>
    <row r="111" spans="1:3" ht="14">
      <c r="A111" s="5">
        <v>2005</v>
      </c>
      <c r="B111" s="10">
        <v>65653.382797031678</v>
      </c>
      <c r="C111">
        <v>5299</v>
      </c>
    </row>
    <row r="112" spans="1:3" ht="14">
      <c r="A112" s="5">
        <v>2006</v>
      </c>
      <c r="B112" s="10">
        <v>103952.85531936215</v>
      </c>
      <c r="C112">
        <v>21583</v>
      </c>
    </row>
    <row r="113" spans="1:3" ht="14">
      <c r="A113" s="5">
        <v>2007</v>
      </c>
      <c r="B113" s="10">
        <v>66938.383311286743</v>
      </c>
      <c r="C113">
        <v>14584</v>
      </c>
    </row>
    <row r="114" spans="1:3" ht="14">
      <c r="A114" s="5">
        <v>2008</v>
      </c>
      <c r="B114" s="10">
        <v>10063.982960379346</v>
      </c>
      <c r="C114">
        <v>679</v>
      </c>
    </row>
    <row r="115" spans="1:3" ht="14">
      <c r="A115" s="5">
        <v>2009</v>
      </c>
      <c r="B115" s="10">
        <v>12568.76061614167</v>
      </c>
      <c r="C115">
        <v>1149</v>
      </c>
    </row>
    <row r="116" spans="1:3" ht="14">
      <c r="A116" s="5">
        <v>2010</v>
      </c>
      <c r="B116" s="10">
        <v>17156.230945944797</v>
      </c>
      <c r="C116">
        <v>1656</v>
      </c>
    </row>
    <row r="117" spans="1:3" ht="14">
      <c r="A117" s="5">
        <v>2011</v>
      </c>
      <c r="B117" s="10">
        <v>22719.73299576675</v>
      </c>
      <c r="C117">
        <v>1402</v>
      </c>
    </row>
    <row r="118" spans="1:3" ht="14">
      <c r="A118" s="5">
        <v>2012</v>
      </c>
      <c r="B118" s="10">
        <v>40943.876533464463</v>
      </c>
      <c r="C118">
        <v>4977</v>
      </c>
    </row>
    <row r="119" spans="1:3" ht="14">
      <c r="A119" s="5">
        <v>2013</v>
      </c>
      <c r="B119" s="10">
        <v>49124.280737701352</v>
      </c>
      <c r="C119">
        <v>7656</v>
      </c>
    </row>
    <row r="120" spans="1:3" ht="14">
      <c r="A120" s="5">
        <v>2014</v>
      </c>
      <c r="B120" s="10">
        <v>19936.125357064222</v>
      </c>
      <c r="C120">
        <v>1892</v>
      </c>
    </row>
    <row r="121" spans="1:3" ht="14">
      <c r="A121" s="5">
        <v>2015</v>
      </c>
      <c r="B121" s="10">
        <v>13982.744429542156</v>
      </c>
      <c r="C121">
        <v>476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Charts</vt:lpstr>
      </vt:variant>
      <vt:variant>
        <vt:i4>3</vt:i4>
      </vt:variant>
    </vt:vector>
  </HeadingPairs>
  <TitlesOfParts>
    <vt:vector size="9" baseType="lpstr">
      <vt:lpstr>Summary Data</vt:lpstr>
      <vt:lpstr>use this Run Reconstruction-1</vt:lpstr>
      <vt:lpstr>Run Reconstruction-2</vt:lpstr>
      <vt:lpstr>Escapement Age</vt:lpstr>
      <vt:lpstr>Commercial Harvest</vt:lpstr>
      <vt:lpstr>Historic</vt:lpstr>
      <vt:lpstr>Chart1</vt:lpstr>
      <vt:lpstr>Chart Run</vt:lpstr>
      <vt:lpstr>Chart2</vt:lpstr>
    </vt:vector>
  </TitlesOfParts>
  <Company>State of Alaska Dept. Fish &amp; Game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dmeggers</dc:creator>
  <cp:lastModifiedBy>Greg Ruggerone</cp:lastModifiedBy>
  <dcterms:created xsi:type="dcterms:W3CDTF">2008-04-30T20:44:39Z</dcterms:created>
  <dcterms:modified xsi:type="dcterms:W3CDTF">2017-09-12T23:46:36Z</dcterms:modified>
</cp:coreProperties>
</file>